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z\YandexDisk\Сайт\Расчеты и шаблоны\Расчеты\"/>
    </mc:Choice>
  </mc:AlternateContent>
  <bookViews>
    <workbookView xWindow="390" yWindow="15" windowWidth="8415" windowHeight="7830"/>
  </bookViews>
  <sheets>
    <sheet name="КАСАТЕЛЬН ПУЧЕНИЕ" sheetId="4" r:id="rId1"/>
    <sheet name="Таблицы" sheetId="8" r:id="rId2"/>
  </sheets>
  <calcPr calcId="152511"/>
</workbook>
</file>

<file path=xl/calcChain.xml><?xml version="1.0" encoding="utf-8"?>
<calcChain xmlns="http://schemas.openxmlformats.org/spreadsheetml/2006/main">
  <c r="C29" i="4" l="1"/>
  <c r="M28" i="4" l="1"/>
  <c r="O35" i="4" s="1"/>
  <c r="M29" i="4"/>
  <c r="O36" i="4" s="1"/>
  <c r="S35" i="4" l="1"/>
  <c r="T35" i="4"/>
  <c r="Q35" i="4"/>
  <c r="U35" i="4"/>
  <c r="P35" i="4"/>
  <c r="R35" i="4"/>
  <c r="R36" i="4"/>
  <c r="U36" i="4"/>
  <c r="Q36" i="4"/>
  <c r="T36" i="4"/>
  <c r="P36" i="4"/>
  <c r="S36" i="4"/>
  <c r="C27" i="4" l="1"/>
  <c r="C32" i="4"/>
  <c r="C33" i="4"/>
  <c r="C28" i="4"/>
  <c r="L12" i="4" l="1"/>
  <c r="C22" i="4" s="1"/>
  <c r="C31" i="4" l="1"/>
  <c r="C23" i="4" l="1"/>
  <c r="M30" i="4" l="1"/>
  <c r="M32" i="4" s="1"/>
  <c r="M31" i="4"/>
  <c r="M33" i="4" s="1"/>
  <c r="C25" i="4"/>
  <c r="H23" i="4"/>
  <c r="H21" i="4" s="1"/>
  <c r="H30" i="4" s="1"/>
  <c r="B38" i="4" s="1"/>
  <c r="C26" i="4"/>
  <c r="L11" i="4"/>
  <c r="C24" i="4" s="1"/>
  <c r="C21" i="4"/>
  <c r="D39" i="4" l="1"/>
  <c r="D37" i="4"/>
  <c r="M26" i="4"/>
  <c r="D38" i="4"/>
  <c r="C30" i="4"/>
  <c r="D36" i="4"/>
  <c r="B39" i="4" l="1"/>
  <c r="F39" i="4" s="1"/>
  <c r="B37" i="4"/>
  <c r="F37" i="4" s="1"/>
  <c r="F38" i="4"/>
  <c r="B36" i="4"/>
  <c r="F36" i="4" s="1"/>
</calcChain>
</file>

<file path=xl/sharedStrings.xml><?xml version="1.0" encoding="utf-8"?>
<sst xmlns="http://schemas.openxmlformats.org/spreadsheetml/2006/main" count="118" uniqueCount="109">
  <si>
    <t>м, глубина заложения подошвы фундамента</t>
  </si>
  <si>
    <r>
      <t>G</t>
    </r>
    <r>
      <rPr>
        <vertAlign val="subscript"/>
        <sz val="11"/>
        <color theme="1"/>
        <rFont val="Calibri"/>
        <family val="2"/>
        <charset val="204"/>
        <scheme val="minor"/>
      </rPr>
      <t>f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</si>
  <si>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Тс, нормативный вес фундамента</t>
  </si>
  <si>
    <r>
      <t>Тс/м</t>
    </r>
    <r>
      <rPr>
        <vertAlign val="superscript"/>
        <sz val="9"/>
        <color theme="1"/>
        <rFont val="Calibri"/>
        <family val="2"/>
        <charset val="204"/>
        <scheme val="minor"/>
      </rPr>
      <t>3</t>
    </r>
    <r>
      <rPr>
        <sz val="9"/>
        <color theme="1"/>
        <rFont val="Calibri"/>
        <family val="2"/>
        <charset val="204"/>
        <scheme val="minor"/>
      </rPr>
      <t>, объемный вес грунта обратной засыпки</t>
    </r>
  </si>
  <si>
    <r>
      <t>γ</t>
    </r>
    <r>
      <rPr>
        <i/>
        <vertAlign val="subscript"/>
        <sz val="12"/>
        <rFont val="Times New Roman"/>
        <family val="1"/>
        <charset val="204"/>
      </rPr>
      <t>bf</t>
    </r>
    <r>
      <rPr>
        <i/>
        <sz val="12"/>
        <rFont val="Times New Roman"/>
        <family val="1"/>
        <charset val="204"/>
      </rPr>
      <t xml:space="preserve"> =</t>
    </r>
  </si>
  <si>
    <t>Тс</t>
  </si>
  <si>
    <t>b =</t>
  </si>
  <si>
    <r>
      <t>d</t>
    </r>
    <r>
      <rPr>
        <vertAlign val="subscript"/>
        <sz val="11"/>
        <color theme="1"/>
        <rFont val="Calibri"/>
        <family val="2"/>
        <charset val="204"/>
        <scheme val="minor"/>
      </rPr>
      <t>f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</si>
  <si>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t>τ</t>
    </r>
    <r>
      <rPr>
        <i/>
        <vertAlign val="subscript"/>
        <sz val="11"/>
        <color theme="1"/>
        <rFont val="Calibri"/>
        <family val="2"/>
        <charset val="204"/>
        <scheme val="minor"/>
      </rPr>
      <t>fh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</si>
  <si>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t>d</t>
    </r>
    <r>
      <rPr>
        <vertAlign val="subscript"/>
        <sz val="11"/>
        <color theme="1"/>
        <rFont val="Calibri"/>
        <family val="2"/>
        <charset val="204"/>
        <scheme val="minor"/>
      </rPr>
      <t>fn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</si>
  <si>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rPr>
        <sz val="11"/>
        <rFont val="Calibri"/>
        <family val="2"/>
        <charset val="204"/>
      </rPr>
      <t>h=δ</t>
    </r>
    <r>
      <rPr>
        <i/>
        <sz val="11"/>
        <rFont val="Calibri"/>
        <family val="2"/>
        <charset val="204"/>
        <scheme val="minor"/>
      </rPr>
      <t xml:space="preserve"> = </t>
    </r>
  </si>
  <si>
    <r>
      <t>A</t>
    </r>
    <r>
      <rPr>
        <vertAlign val="subscript"/>
        <sz val="11"/>
        <color theme="1"/>
        <rFont val="Calibri"/>
        <family val="2"/>
        <charset val="204"/>
        <scheme val="minor"/>
      </rPr>
      <t>fh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</si>
  <si>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м2, площадь сдвига талых грунтов</t>
  </si>
  <si>
    <r>
      <t>A</t>
    </r>
    <r>
      <rPr>
        <vertAlign val="subscript"/>
        <sz val="11"/>
        <color theme="1"/>
        <rFont val="Calibri"/>
        <family val="2"/>
        <charset val="204"/>
        <scheme val="minor"/>
      </rPr>
      <t xml:space="preserve">f </t>
    </r>
    <r>
      <rPr>
        <sz val="11"/>
        <color theme="1"/>
        <rFont val="Calibri"/>
        <family val="2"/>
        <charset val="204"/>
        <scheme val="minor"/>
      </rPr>
      <t>=</t>
    </r>
  </si>
  <si>
    <r>
      <t>R</t>
    </r>
    <r>
      <rPr>
        <vertAlign val="subscript"/>
        <sz val="11"/>
        <color theme="1"/>
        <rFont val="Calibri"/>
        <family val="2"/>
        <charset val="204"/>
        <scheme val="minor"/>
      </rPr>
      <t>f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</si>
  <si>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м2, площадь сдвига по мерзлым грунтам</t>
  </si>
  <si>
    <t>выпучивающая сила</t>
  </si>
  <si>
    <t>удерживающая сила</t>
  </si>
  <si>
    <t>ИСХОДНЫЕ ДАННЫЕ</t>
  </si>
  <si>
    <t>Тип поверхности фундамента</t>
  </si>
  <si>
    <t>Шероховатая бетонная с выступами и кавернаями до 5 мм</t>
  </si>
  <si>
    <t>Шероховатая бетонная с выступами и кавернаями до 20 мм</t>
  </si>
  <si>
    <t>м, Расчетная глубина промерзания грунта</t>
  </si>
  <si>
    <t>F =</t>
  </si>
  <si>
    <t>м, меньший размер подошвы фундамента</t>
  </si>
  <si>
    <t>м, больший размер подошвы  фундамента</t>
  </si>
  <si>
    <t>a =</t>
  </si>
  <si>
    <t>м, меньшая сторона сечения стойки фундамента</t>
  </si>
  <si>
    <t>м, большая сторона сечения стойки фундамента</t>
  </si>
  <si>
    <t>Геометрические параметры фундамента</t>
  </si>
  <si>
    <r>
      <t>G</t>
    </r>
    <r>
      <rPr>
        <vertAlign val="subscript"/>
        <sz val="11"/>
        <color theme="1"/>
        <rFont val="Times New Roman"/>
        <family val="1"/>
        <charset val="204"/>
      </rPr>
      <t>гр</t>
    </r>
    <r>
      <rPr>
        <sz val="11"/>
        <color theme="1"/>
        <rFont val="Times New Roman"/>
        <family val="1"/>
        <charset val="204"/>
      </rPr>
      <t xml:space="preserve"> =</t>
    </r>
  </si>
  <si>
    <t>Тс, нормативный вес грунта на свесах подошвы</t>
  </si>
  <si>
    <t>Тип обработки поверхности</t>
  </si>
  <si>
    <t>Без обработки</t>
  </si>
  <si>
    <t>Окраска кремнийорганической эмалью</t>
  </si>
  <si>
    <t>КО эмаль+смазка БАМ-4 и ПЭ пленка</t>
  </si>
  <si>
    <t>Оболочка термоусаживаемая типа "Релайн"</t>
  </si>
  <si>
    <t>Уклон боковых граней фундамента в слое промерзания</t>
  </si>
  <si>
    <r>
      <t xml:space="preserve">коэффициенты  </t>
    </r>
    <r>
      <rPr>
        <sz val="9"/>
        <color theme="1"/>
        <rFont val="Calibri"/>
        <family val="2"/>
        <charset val="204"/>
      </rPr>
      <t>γ</t>
    </r>
    <r>
      <rPr>
        <vertAlign val="subscript"/>
        <sz val="9"/>
        <color theme="1"/>
        <rFont val="Calibri"/>
        <family val="2"/>
        <charset val="204"/>
      </rPr>
      <t>c</t>
    </r>
    <r>
      <rPr>
        <sz val="9"/>
        <color theme="1"/>
        <rFont val="Calibri"/>
        <family val="2"/>
        <charset val="204"/>
      </rPr>
      <t xml:space="preserve"> и γ</t>
    </r>
    <r>
      <rPr>
        <vertAlign val="subscript"/>
        <sz val="9"/>
        <color theme="1"/>
        <rFont val="Calibri"/>
        <family val="2"/>
        <charset val="204"/>
      </rPr>
      <t>n</t>
    </r>
    <r>
      <rPr>
        <sz val="9"/>
        <color theme="1"/>
        <rFont val="Calibri"/>
        <family val="2"/>
        <charset val="204"/>
      </rPr>
      <t xml:space="preserve"> принимаются одинаковыми во всех случаях и равны 1,0 и 1,1 соответственно</t>
    </r>
  </si>
  <si>
    <t>коэффициент снижения смерзания за счет применения окраски, обмазок и др. обработок поверхности</t>
  </si>
  <si>
    <t>Любое лакокрасочное покрытие с гладкой поверхностью и сроком службы более 20 лет</t>
  </si>
  <si>
    <t>Вывод: несущей способности -</t>
  </si>
  <si>
    <t>для крупнообломочных грунтов с глинистым или мелкопесчаным заполнителем &gt;30% характеристики грунта принимать по характеристикам заполнителя</t>
  </si>
  <si>
    <t>Расчет по СП 22.13330.2016 Основания зданий и сооружений (разд. 6.8)</t>
  </si>
  <si>
    <t>Засыпка пазух шириной 20 см непучинистым материалом</t>
  </si>
  <si>
    <t>Засыпка пазух шириной 40 см непучинистым материалом</t>
  </si>
  <si>
    <t>Засыпка пазух шириной 60 см непучинистым материалом</t>
  </si>
  <si>
    <t>Тип грунта НИЖЕ глубины промерзания</t>
  </si>
  <si>
    <t>Тип грунта В ПРЕДЕЛАХ глубины промерзания</t>
  </si>
  <si>
    <r>
      <t>Тс/м</t>
    </r>
    <r>
      <rPr>
        <vertAlign val="superscript"/>
        <sz val="9"/>
        <color theme="1"/>
        <rFont val="Calibri"/>
        <family val="2"/>
        <charset val="204"/>
        <scheme val="minor"/>
      </rPr>
      <t>2</t>
    </r>
    <r>
      <rPr>
        <sz val="9"/>
        <color theme="1"/>
        <rFont val="Calibri"/>
        <family val="2"/>
        <charset val="204"/>
        <scheme val="minor"/>
      </rPr>
      <t>, среднее трение грунта по боковой поверхности в пределах НЕ промерзающего слоя (СП 24.13330.2011)</t>
    </r>
  </si>
  <si>
    <r>
      <rPr>
        <sz val="10"/>
        <color theme="1"/>
        <rFont val="Calibri"/>
        <family val="2"/>
        <charset val="204"/>
      </rPr>
      <t>°</t>
    </r>
    <r>
      <rPr>
        <sz val="10"/>
        <color theme="1"/>
        <rFont val="Times New Roman"/>
        <family val="1"/>
        <charset val="204"/>
      </rPr>
      <t>С, расчетная температура внутреннего воздуха (для отапливаемых зданий)</t>
    </r>
  </si>
  <si>
    <r>
      <t>t</t>
    </r>
    <r>
      <rPr>
        <vertAlign val="subscript"/>
        <sz val="11"/>
        <color theme="1"/>
        <rFont val="Times New Roman"/>
        <family val="1"/>
        <charset val="204"/>
      </rPr>
      <t>int</t>
    </r>
    <r>
      <rPr>
        <sz val="11"/>
        <color theme="1"/>
        <rFont val="Times New Roman"/>
        <family val="1"/>
        <charset val="204"/>
      </rPr>
      <t xml:space="preserve"> =</t>
    </r>
  </si>
  <si>
    <t>Отапливаемое, без подвала с полами, устраиваемыми по грунту</t>
  </si>
  <si>
    <t>Отапливаемое, без подвала с полами, устраиваемыми на лагах по грунту</t>
  </si>
  <si>
    <t>Отапливаемое, без подвала с полами, устраиваемыми по утепленному цокольному перекрытию</t>
  </si>
  <si>
    <t>Отапливаемое, с подвалом или тех. подпольем</t>
  </si>
  <si>
    <t>Не отапливаемое</t>
  </si>
  <si>
    <t>Конструкция пола в здании/наличие отопления</t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</si>
  <si>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h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</si>
  <si>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af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</si>
  <si>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=</t>
    </r>
  </si>
  <si>
    <r>
      <t>k</t>
    </r>
    <r>
      <rPr>
        <vertAlign val="sub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</si>
  <si>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Вычисленные значения</t>
  </si>
  <si>
    <t>м, средняя толщина плитной части фундамента</t>
  </si>
  <si>
    <t>Коэффициент влияния теплового режима сооружения (см. таблицу 5.2 СП 22.13330.2016)</t>
  </si>
  <si>
    <t>коэффициент к силе смерзания в зависимости от уклона граней фундамента</t>
  </si>
  <si>
    <t>коэффициент  к силе смерзания в зависимости от типа поверхности фундамента</t>
  </si>
  <si>
    <t>РЕЗУЛЬТАТЫ РАСЧЕТА</t>
  </si>
  <si>
    <t>Деревянная антисептированная (масляный антисептик)</t>
  </si>
  <si>
    <t>Металлическая без специальной обработки (СП 22.13330)</t>
  </si>
  <si>
    <t>Металлическая из горячекатанного проката (СП 25.13330)</t>
  </si>
  <si>
    <t>Гладкая бетонная (в мет. опалубке) необработанная, деревянная необработанная</t>
  </si>
  <si>
    <r>
      <t>Тс/м</t>
    </r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>, удельная касательная сила пучения по СП 22.13330.2016</t>
    </r>
  </si>
  <si>
    <r>
      <t>Тс/м</t>
    </r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>, удельная касательная сила пучения по СП 25.13330.2016</t>
    </r>
  </si>
  <si>
    <t>м, Нормативная глубина промерзания грунта в районе строительства (изыскания)</t>
  </si>
  <si>
    <r>
      <t>Тс/м</t>
    </r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, удельная касательная сила пучения по Руководство по проектированию оснований и фундаментов на пучинистых грунтах </t>
    </r>
  </si>
  <si>
    <t xml:space="preserve">Расчет по Руководство по проектированию оснований и фундаментов на пучинистых грунтах </t>
  </si>
  <si>
    <r>
      <t xml:space="preserve">Тс, расчетная </t>
    </r>
    <r>
      <rPr>
        <b/>
        <sz val="10"/>
        <color theme="1"/>
        <rFont val="Times New Roman"/>
        <family val="1"/>
        <charset val="204"/>
      </rPr>
      <t>постоянная</t>
    </r>
    <r>
      <rPr>
        <sz val="10"/>
        <color theme="1"/>
        <rFont val="Times New Roman"/>
        <family val="1"/>
        <charset val="204"/>
      </rPr>
      <t xml:space="preserve"> нагрузка, действующая на фундамент. "-" при выдергивании)</t>
    </r>
  </si>
  <si>
    <t xml:space="preserve">Расчет по Пособие по проектированию оснований и фундаментов зданий и сооружений к СНиП 2.02.01-83 </t>
  </si>
  <si>
    <r>
      <t>k</t>
    </r>
    <r>
      <rPr>
        <vertAlign val="subscript"/>
        <sz val="11"/>
        <color theme="1"/>
        <rFont val="Times New Roman"/>
        <family val="1"/>
        <charset val="204"/>
      </rPr>
      <t>f</t>
    </r>
    <r>
      <rPr>
        <sz val="11"/>
        <color theme="1"/>
        <rFont val="Calibri"/>
        <family val="2"/>
        <charset val="204"/>
        <scheme val="minor"/>
      </rPr>
      <t xml:space="preserve"> =</t>
    </r>
  </si>
  <si>
    <t>СП 22.13330.2016 Основания зданий и сооружений (разд. 6.8)</t>
  </si>
  <si>
    <r>
      <t>Глинистые при I</t>
    </r>
    <r>
      <rPr>
        <vertAlign val="subscript"/>
        <sz val="10"/>
        <color theme="0" tint="-0.14999847407452621"/>
        <rFont val="Times New Roman"/>
        <family val="1"/>
        <charset val="204"/>
      </rPr>
      <t>L</t>
    </r>
    <r>
      <rPr>
        <sz val="10"/>
        <color theme="0" tint="-0.14999847407452621"/>
        <rFont val="Times New Roman"/>
        <family val="1"/>
        <charset val="204"/>
      </rPr>
      <t xml:space="preserve"> &gt; 0,5, пески мелкие и пылеватые при D &gt; 5 и Sr &gt; 0,95</t>
    </r>
  </si>
  <si>
    <r>
      <t>Глинистые при 0,25 &lt;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0,5, пески мелкие и пылеватые при D &gt; 1 и 0,8 &lt; Sr &lt; 0,95</t>
    </r>
  </si>
  <si>
    <r>
      <t>Глинистые при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0,25, пески мелкие и пылеватые при D &gt; 1 и 0,6 &lt; Sr &lt; 0,8</t>
    </r>
  </si>
  <si>
    <r>
      <t>Уклон граней обратный, более 1,5</t>
    </r>
    <r>
      <rPr>
        <sz val="11"/>
        <color theme="0" tint="-0.14999847407452621"/>
        <rFont val="Calibri"/>
        <family val="2"/>
        <charset val="204"/>
      </rPr>
      <t>°</t>
    </r>
  </si>
  <si>
    <r>
      <t>Нет уклона граней или он менее 1,5</t>
    </r>
    <r>
      <rPr>
        <sz val="11"/>
        <color theme="0" tint="-0.14999847407452621"/>
        <rFont val="Calibri"/>
        <family val="2"/>
        <charset val="204"/>
      </rPr>
      <t>°</t>
    </r>
  </si>
  <si>
    <r>
      <t>Засыпка пазух шириной 0,25-0,5 м у подошвы и шириной равной  d</t>
    </r>
    <r>
      <rPr>
        <vertAlign val="subscript"/>
        <sz val="10"/>
        <color theme="0" tint="-0.14999847407452621"/>
        <rFont val="Times New Roman"/>
        <family val="1"/>
        <charset val="204"/>
      </rPr>
      <t>fn</t>
    </r>
    <r>
      <rPr>
        <sz val="10"/>
        <color theme="0" tint="-0.14999847407452621"/>
        <rFont val="Times New Roman"/>
        <family val="1"/>
        <charset val="204"/>
      </rPr>
      <t xml:space="preserve">  на уровне поверхности непучинистым грунтом</t>
    </r>
  </si>
  <si>
    <r>
      <t>Глинистые при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0,2, пески крупные и средней крупности</t>
    </r>
  </si>
  <si>
    <r>
      <t>Глинистые при 0,2 &lt;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0,3, пески мелкие</t>
    </r>
  </si>
  <si>
    <r>
      <t>Глинистые при 0,3 &lt;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0,4, пески пылеватые</t>
    </r>
  </si>
  <si>
    <r>
      <t>Глинистые при 0,4 &lt;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0,5</t>
    </r>
  </si>
  <si>
    <r>
      <t>Глинистые при 0,5 &lt;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0,6</t>
    </r>
  </si>
  <si>
    <r>
      <t>Глинистые при 0,6 &lt;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0,7</t>
    </r>
  </si>
  <si>
    <r>
      <t>Глинистые при 0,7 &lt;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0,8</t>
    </r>
  </si>
  <si>
    <r>
      <t>Глинистые при 0,8 &lt;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&lt; 0,9</t>
    </r>
  </si>
  <si>
    <r>
      <t>Глинистые при I</t>
    </r>
    <r>
      <rPr>
        <vertAlign val="subscript"/>
        <sz val="10"/>
        <color theme="0" tint="-0.14999847407452621"/>
        <rFont val="Times New Roman"/>
        <family val="1"/>
        <charset val="204"/>
      </rPr>
      <t xml:space="preserve">L </t>
    </r>
    <r>
      <rPr>
        <sz val="10"/>
        <color theme="0" tint="-0.14999847407452621"/>
        <rFont val="Times New Roman"/>
        <family val="1"/>
        <charset val="204"/>
      </rPr>
      <t>&gt; 0,9</t>
    </r>
  </si>
  <si>
    <r>
      <t>m</t>
    </r>
    <r>
      <rPr>
        <vertAlign val="subscript"/>
        <sz val="11"/>
        <color theme="0" tint="-0.34998626667073579"/>
        <rFont val="Calibri"/>
        <family val="2"/>
        <charset val="204"/>
        <scheme val="minor"/>
      </rPr>
      <t>1</t>
    </r>
    <r>
      <rPr>
        <sz val="11"/>
        <color theme="0" tint="-0.34998626667073579"/>
        <rFont val="Calibri"/>
        <family val="2"/>
        <charset val="204"/>
        <scheme val="minor"/>
      </rPr>
      <t xml:space="preserve"> =</t>
    </r>
  </si>
  <si>
    <r>
      <t>m</t>
    </r>
    <r>
      <rPr>
        <vertAlign val="subscript"/>
        <sz val="11"/>
        <color theme="0" tint="-0.34998626667073579"/>
        <rFont val="Calibri"/>
        <family val="2"/>
        <charset val="204"/>
        <scheme val="minor"/>
      </rPr>
      <t>2</t>
    </r>
    <r>
      <rPr>
        <sz val="11"/>
        <color theme="0" tint="-0.34998626667073579"/>
        <rFont val="Calibri"/>
        <family val="2"/>
        <charset val="204"/>
        <scheme val="minor"/>
      </rPr>
      <t xml:space="preserve"> =</t>
    </r>
  </si>
  <si>
    <r>
      <t>n</t>
    </r>
    <r>
      <rPr>
        <vertAlign val="subscript"/>
        <sz val="11"/>
        <color theme="0" tint="-0.34998626667073579"/>
        <rFont val="Calibri"/>
        <family val="2"/>
        <charset val="204"/>
        <scheme val="minor"/>
      </rPr>
      <t>1</t>
    </r>
    <r>
      <rPr>
        <sz val="11"/>
        <color theme="0" tint="-0.34998626667073579"/>
        <rFont val="Calibri"/>
        <family val="2"/>
        <charset val="204"/>
        <scheme val="minor"/>
      </rPr>
      <t xml:space="preserve"> =</t>
    </r>
  </si>
  <si>
    <r>
      <t>n</t>
    </r>
    <r>
      <rPr>
        <vertAlign val="subscript"/>
        <sz val="11"/>
        <color theme="0" tint="-0.34998626667073579"/>
        <rFont val="Calibri"/>
        <family val="2"/>
        <charset val="204"/>
        <scheme val="minor"/>
      </rPr>
      <t>2</t>
    </r>
    <r>
      <rPr>
        <sz val="11"/>
        <color theme="0" tint="-0.34998626667073579"/>
        <rFont val="Calibri"/>
        <family val="2"/>
        <charset val="204"/>
        <scheme val="minor"/>
      </rPr>
      <t xml:space="preserve"> =</t>
    </r>
  </si>
  <si>
    <r>
      <t>β</t>
    </r>
    <r>
      <rPr>
        <vertAlign val="subscript"/>
        <sz val="11"/>
        <color theme="0" tint="-0.34998626667073579"/>
        <rFont val="Calibri"/>
        <family val="2"/>
        <charset val="204"/>
        <scheme val="minor"/>
      </rPr>
      <t>1</t>
    </r>
    <r>
      <rPr>
        <sz val="11"/>
        <color theme="0" tint="-0.34998626667073579"/>
        <rFont val="Calibri"/>
        <family val="2"/>
        <charset val="204"/>
        <scheme val="minor"/>
      </rPr>
      <t xml:space="preserve"> =</t>
    </r>
  </si>
  <si>
    <r>
      <t>β</t>
    </r>
    <r>
      <rPr>
        <vertAlign val="subscript"/>
        <sz val="11"/>
        <color theme="0" tint="-0.34998626667073579"/>
        <rFont val="Calibri"/>
        <family val="2"/>
        <charset val="204"/>
        <scheme val="minor"/>
      </rPr>
      <t>2</t>
    </r>
    <r>
      <rPr>
        <sz val="11"/>
        <color theme="0" tint="-0.34998626667073579"/>
        <rFont val="Calibri"/>
        <family val="2"/>
        <charset val="204"/>
        <scheme val="minor"/>
      </rPr>
      <t xml:space="preserve"> =</t>
    </r>
  </si>
  <si>
    <t>СП 25.13330.2016 Основания зданий и сооружений (разд. 7.4)</t>
  </si>
  <si>
    <t xml:space="preserve">Пособие по проектированию оснований и фундаментов зданий и сооружений к СНиП 2.02.01-83 </t>
  </si>
  <si>
    <r>
      <t>Коэфф к τ</t>
    </r>
    <r>
      <rPr>
        <vertAlign val="subscript"/>
        <sz val="10"/>
        <color theme="1"/>
        <rFont val="Times New Roman"/>
        <family val="1"/>
        <charset val="204"/>
      </rPr>
      <t>fh</t>
    </r>
  </si>
  <si>
    <t>Расчет по СП 25.13330.2016 Основания и фундаменты на вечномерзлых грунтах (разд. 7.4)</t>
  </si>
  <si>
    <r>
      <t>c1</t>
    </r>
    <r>
      <rPr>
        <sz val="12"/>
        <color theme="1"/>
        <rFont val="Times New Roman"/>
        <family val="1"/>
        <charset val="204"/>
      </rPr>
      <t xml:space="preserve"> = </t>
    </r>
  </si>
  <si>
    <t>с2 =</t>
  </si>
  <si>
    <t>d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</si>
</sst>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0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i/>
      <vertAlign val="subscript"/>
      <sz val="11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vertAlign val="superscript"/>
      <sz val="9"/>
      <color theme="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 tint="-0.34998626667073579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  <scheme val="minor"/>
    </font>
    <font>
      <vertAlign val="subscript"/>
      <sz val="11"/>
      <color theme="1"/>
      <name val="Times New Roman"/>
      <family val="1"/>
      <charset val="204"/>
    </font>
    <font>
      <sz val="10"/>
      <color theme="0" tint="-0.249977111117893"/>
      <name val="Times New Roman"/>
      <family val="1"/>
      <charset val="204"/>
    </font>
    <font>
      <sz val="11"/>
      <color theme="0" tint="-0.249977111117893"/>
      <name val="Calibri"/>
      <family val="2"/>
      <charset val="204"/>
      <scheme val="minor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vertAlign val="superscript"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bscript"/>
      <sz val="9"/>
      <color theme="1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0"/>
      <color theme="0" tint="-0.14999847407452621"/>
      <name val="Times New Roman"/>
      <family val="1"/>
      <charset val="204"/>
    </font>
    <font>
      <vertAlign val="subscript"/>
      <sz val="10"/>
      <color theme="0" tint="-0.14999847407452621"/>
      <name val="Times New Roman"/>
      <family val="1"/>
      <charset val="204"/>
    </font>
    <font>
      <sz val="10"/>
      <color theme="0" tint="-0.14999847407452621"/>
      <name val="Calibri"/>
      <family val="2"/>
      <charset val="204"/>
      <scheme val="minor"/>
    </font>
    <font>
      <sz val="11"/>
      <color theme="0" tint="-0.14999847407452621"/>
      <name val="Calibri"/>
      <family val="2"/>
      <charset val="204"/>
    </font>
    <font>
      <sz val="11"/>
      <color theme="0" tint="-0.34998626667073579"/>
      <name val="Times New Roman"/>
      <family val="1"/>
      <charset val="204"/>
    </font>
    <font>
      <vertAlign val="subscript"/>
      <sz val="11"/>
      <color theme="0" tint="-0.34998626667073579"/>
      <name val="Calibri"/>
      <family val="2"/>
      <charset val="204"/>
      <scheme val="minor"/>
    </font>
    <font>
      <sz val="11"/>
      <color theme="0" tint="-0.34998626667073579"/>
      <name val="Calibri"/>
      <family val="2"/>
      <charset val="204"/>
    </font>
    <font>
      <vertAlign val="subscript"/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505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13" fillId="0" borderId="4" xfId="0" applyFont="1" applyBorder="1" applyAlignment="1">
      <alignment horizontal="right" vertical="center"/>
    </xf>
    <xf numFmtId="0" fontId="14" fillId="0" borderId="10" xfId="0" applyFont="1" applyBorder="1"/>
    <xf numFmtId="0" fontId="14" fillId="0" borderId="11" xfId="0" applyFont="1" applyBorder="1"/>
    <xf numFmtId="0" fontId="0" fillId="0" borderId="11" xfId="0" applyBorder="1"/>
    <xf numFmtId="0" fontId="15" fillId="0" borderId="11" xfId="0" applyFont="1" applyBorder="1" applyAlignment="1">
      <alignment horizontal="right"/>
    </xf>
    <xf numFmtId="0" fontId="0" fillId="0" borderId="12" xfId="0" applyBorder="1"/>
    <xf numFmtId="0" fontId="0" fillId="0" borderId="0" xfId="0" applyBorder="1"/>
    <xf numFmtId="0" fontId="15" fillId="0" borderId="0" xfId="0" applyFont="1" applyBorder="1" applyAlignment="1">
      <alignment horizontal="right"/>
    </xf>
    <xf numFmtId="0" fontId="12" fillId="0" borderId="0" xfId="0" applyFont="1" applyBorder="1" applyAlignment="1">
      <alignment vertical="center"/>
    </xf>
    <xf numFmtId="0" fontId="19" fillId="0" borderId="4" xfId="0" applyFont="1" applyBorder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13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3" fillId="0" borderId="6" xfId="0" applyFont="1" applyBorder="1" applyAlignment="1">
      <alignment horizontal="right" vertical="center"/>
    </xf>
    <xf numFmtId="0" fontId="1" fillId="0" borderId="14" xfId="0" applyFont="1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3" fillId="0" borderId="0" xfId="0" applyFont="1" applyBorder="1"/>
    <xf numFmtId="0" fontId="0" fillId="0" borderId="7" xfId="0" applyBorder="1" applyAlignment="1">
      <alignment horizontal="right"/>
    </xf>
    <xf numFmtId="0" fontId="12" fillId="0" borderId="7" xfId="0" applyFont="1" applyBorder="1" applyAlignment="1">
      <alignment vertical="center"/>
    </xf>
    <xf numFmtId="0" fontId="1" fillId="0" borderId="1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6" xfId="0" applyFont="1" applyBorder="1" applyAlignment="1">
      <alignment horizontal="right" vertical="center"/>
    </xf>
    <xf numFmtId="0" fontId="0" fillId="2" borderId="13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0" xfId="0" applyFill="1" applyBorder="1"/>
    <xf numFmtId="2" fontId="25" fillId="5" borderId="2" xfId="0" applyNumberFormat="1" applyFont="1" applyFill="1" applyBorder="1" applyAlignment="1">
      <alignment horizontal="center" vertical="center"/>
    </xf>
    <xf numFmtId="2" fontId="26" fillId="0" borderId="3" xfId="0" applyNumberFormat="1" applyFont="1" applyBorder="1" applyAlignment="1">
      <alignment vertical="center"/>
    </xf>
    <xf numFmtId="2" fontId="25" fillId="4" borderId="2" xfId="0" applyNumberFormat="1" applyFont="1" applyFill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14" fillId="0" borderId="4" xfId="0" applyFont="1" applyBorder="1"/>
    <xf numFmtId="0" fontId="14" fillId="0" borderId="0" xfId="0" applyFont="1" applyBorder="1"/>
    <xf numFmtId="0" fontId="17" fillId="0" borderId="0" xfId="0" applyFont="1" applyAlignment="1">
      <alignment horizontal="center" vertical="center"/>
    </xf>
    <xf numFmtId="0" fontId="13" fillId="0" borderId="6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vertical="center"/>
    </xf>
    <xf numFmtId="0" fontId="15" fillId="0" borderId="0" xfId="0" applyFont="1" applyBorder="1"/>
    <xf numFmtId="0" fontId="0" fillId="2" borderId="15" xfId="0" applyFill="1" applyBorder="1" applyAlignment="1">
      <alignment horizontal="center"/>
    </xf>
    <xf numFmtId="0" fontId="13" fillId="0" borderId="4" xfId="0" applyFont="1" applyFill="1" applyBorder="1" applyAlignment="1">
      <alignment horizontal="right" vertical="center"/>
    </xf>
    <xf numFmtId="2" fontId="0" fillId="2" borderId="15" xfId="0" applyNumberForma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0" fontId="0" fillId="2" borderId="15" xfId="0" applyFont="1" applyFill="1" applyBorder="1" applyAlignment="1">
      <alignment horizontal="center"/>
    </xf>
    <xf numFmtId="0" fontId="18" fillId="0" borderId="0" xfId="0" applyFont="1" applyBorder="1"/>
    <xf numFmtId="164" fontId="0" fillId="2" borderId="1" xfId="0" applyNumberFormat="1" applyFill="1" applyBorder="1" applyAlignment="1">
      <alignment horizontal="center"/>
    </xf>
    <xf numFmtId="0" fontId="31" fillId="0" borderId="0" xfId="0" applyFont="1"/>
    <xf numFmtId="0" fontId="15" fillId="0" borderId="0" xfId="0" applyFont="1"/>
    <xf numFmtId="0" fontId="33" fillId="0" borderId="0" xfId="0" applyFont="1"/>
    <xf numFmtId="0" fontId="31" fillId="0" borderId="0" xfId="0" applyFont="1" applyAlignment="1">
      <alignment horizontal="center" vertical="center"/>
    </xf>
    <xf numFmtId="0" fontId="35" fillId="0" borderId="0" xfId="0" applyFont="1" applyBorder="1" applyAlignment="1">
      <alignment horizontal="right" vertical="center"/>
    </xf>
    <xf numFmtId="2" fontId="14" fillId="0" borderId="5" xfId="0" applyNumberFormat="1" applyFont="1" applyBorder="1" applyAlignment="1">
      <alignment horizontal="center"/>
    </xf>
    <xf numFmtId="0" fontId="37" fillId="0" borderId="0" xfId="0" applyFont="1" applyBorder="1" applyAlignment="1">
      <alignment horizontal="right" vertical="center"/>
    </xf>
    <xf numFmtId="0" fontId="14" fillId="0" borderId="5" xfId="0" applyFont="1" applyBorder="1" applyAlignment="1">
      <alignment horizont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6" fillId="0" borderId="6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39" fillId="0" borderId="0" xfId="0" applyFont="1" applyBorder="1" applyAlignment="1">
      <alignment vertical="center"/>
    </xf>
  </cellXfs>
  <cellStyles count="1"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92D050"/>
        </patternFill>
      </fill>
    </dxf>
    <dxf>
      <font>
        <strike/>
        <color theme="1" tint="4.9989318521683403E-2"/>
      </font>
      <fill>
        <patternFill>
          <bgColor theme="0" tint="-0.49998474074526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206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3" dropStyle="combo" dx="20" fmlaLink="$I$3" fmlaRange="$O$2:$O$4" noThreeD="1" sel="2" val="0"/>
</file>

<file path=xl/ctrlProps/ctrlProp2.xml><?xml version="1.0" encoding="utf-8"?>
<formControlPr xmlns="http://schemas.microsoft.com/office/spreadsheetml/2009/9/main" objectType="Drop" dropLines="6" dropStyle="combo" dx="20" fmlaLink="$I$5" fmlaRange="$O$7:$O$12" noThreeD="1" sel="1" val="0"/>
</file>

<file path=xl/ctrlProps/ctrlProp3.xml><?xml version="1.0" encoding="utf-8"?>
<formControlPr xmlns="http://schemas.microsoft.com/office/spreadsheetml/2009/9/main" objectType="Drop" dropLines="9" dropStyle="combo" dx="20" fmlaLink="$I$6" fmlaRange="$O$15:$O$23" noThreeD="1" sel="1" val="0"/>
</file>

<file path=xl/ctrlProps/ctrlProp4.xml><?xml version="1.0" encoding="utf-8"?>
<formControlPr xmlns="http://schemas.microsoft.com/office/spreadsheetml/2009/9/main" objectType="Drop" dropLines="2" dropStyle="combo" dx="20" fmlaLink="$I$7" fmlaRange="$S$16:$S$17" noThreeD="1" sel="2" val="0"/>
</file>

<file path=xl/ctrlProps/ctrlProp5.xml><?xml version="1.0" encoding="utf-8"?>
<formControlPr xmlns="http://schemas.microsoft.com/office/spreadsheetml/2009/9/main" objectType="Drop" dropLines="9" dropStyle="combo" dx="20" fmlaLink="$I$4" fmlaRange="$O$25:$O$33" noThreeD="1" sel="2" val="0"/>
</file>

<file path=xl/ctrlProps/ctrlProp6.xml><?xml version="1.0" encoding="utf-8"?>
<formControlPr xmlns="http://schemas.microsoft.com/office/spreadsheetml/2009/9/main" objectType="Drop" dropLines="5" dropStyle="combo" dx="20" fmlaLink="$I$8" fmlaRange="$P$2:$P$6" noThreeD="1" sel="5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1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30781</xdr:colOff>
      <xdr:row>8</xdr:row>
      <xdr:rowOff>57151</xdr:rowOff>
    </xdr:from>
    <xdr:to>
      <xdr:col>12</xdr:col>
      <xdr:colOff>681338</xdr:colOff>
      <xdr:row>10</xdr:row>
      <xdr:rowOff>28575</xdr:rowOff>
    </xdr:to>
    <xdr:pic>
      <xdr:nvPicPr>
        <xdr:cNvPr id="409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317281" y="1609726"/>
          <a:ext cx="1260157" cy="390524"/>
        </a:xfrm>
        <a:prstGeom prst="rect">
          <a:avLst/>
        </a:prstGeom>
        <a:noFill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238125</xdr:colOff>
          <xdr:row>1</xdr:row>
          <xdr:rowOff>190500</xdr:rowOff>
        </xdr:from>
        <xdr:to>
          <xdr:col>8</xdr:col>
          <xdr:colOff>495300</xdr:colOff>
          <xdr:row>3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8</xdr:col>
          <xdr:colOff>495300</xdr:colOff>
          <xdr:row>5</xdr:row>
          <xdr:rowOff>9525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5</xdr:row>
          <xdr:rowOff>0</xdr:rowOff>
        </xdr:from>
        <xdr:to>
          <xdr:col>8</xdr:col>
          <xdr:colOff>495300</xdr:colOff>
          <xdr:row>6</xdr:row>
          <xdr:rowOff>9525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8</xdr:col>
          <xdr:colOff>495300</xdr:colOff>
          <xdr:row>7</xdr:row>
          <xdr:rowOff>9525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200025</xdr:rowOff>
        </xdr:from>
        <xdr:to>
          <xdr:col>8</xdr:col>
          <xdr:colOff>495300</xdr:colOff>
          <xdr:row>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7</xdr:row>
          <xdr:rowOff>9525</xdr:rowOff>
        </xdr:from>
        <xdr:to>
          <xdr:col>8</xdr:col>
          <xdr:colOff>495300</xdr:colOff>
          <xdr:row>8</xdr:row>
          <xdr:rowOff>19050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13</xdr:col>
      <xdr:colOff>95250</xdr:colOff>
      <xdr:row>1</xdr:row>
      <xdr:rowOff>85725</xdr:rowOff>
    </xdr:from>
    <xdr:to>
      <xdr:col>31</xdr:col>
      <xdr:colOff>65325</xdr:colOff>
      <xdr:row>32</xdr:row>
      <xdr:rowOff>104775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91500" y="180975"/>
          <a:ext cx="4846875" cy="62960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348616</xdr:colOff>
      <xdr:row>4</xdr:row>
      <xdr:rowOff>125730</xdr:rowOff>
    </xdr:from>
    <xdr:to>
      <xdr:col>11</xdr:col>
      <xdr:colOff>531496</xdr:colOff>
      <xdr:row>6</xdr:row>
      <xdr:rowOff>133350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6520816" y="849630"/>
          <a:ext cx="1554480" cy="369570"/>
        </a:xfrm>
        <a:prstGeom prst="rect">
          <a:avLst/>
        </a:prstGeom>
        <a:noFill/>
      </xdr:spPr>
    </xdr:pic>
    <xdr:clientData/>
  </xdr:twoCellAnchor>
  <xdr:twoCellAnchor>
    <xdr:from>
      <xdr:col>12</xdr:col>
      <xdr:colOff>53341</xdr:colOff>
      <xdr:row>3</xdr:row>
      <xdr:rowOff>142875</xdr:rowOff>
    </xdr:from>
    <xdr:to>
      <xdr:col>15</xdr:col>
      <xdr:colOff>586741</xdr:colOff>
      <xdr:row>6</xdr:row>
      <xdr:rowOff>81068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8282941" y="685800"/>
          <a:ext cx="2590800" cy="481118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287656</xdr:colOff>
      <xdr:row>21</xdr:row>
      <xdr:rowOff>28575</xdr:rowOff>
    </xdr:from>
    <xdr:to>
      <xdr:col>15</xdr:col>
      <xdr:colOff>299366</xdr:colOff>
      <xdr:row>40</xdr:row>
      <xdr:rowOff>127635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59856" y="3829050"/>
          <a:ext cx="4126510" cy="35375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266700</xdr:colOff>
      <xdr:row>7</xdr:row>
      <xdr:rowOff>0</xdr:rowOff>
    </xdr:from>
    <xdr:to>
      <xdr:col>15</xdr:col>
      <xdr:colOff>625116</xdr:colOff>
      <xdr:row>21</xdr:row>
      <xdr:rowOff>9525</xdr:rowOff>
    </xdr:to>
    <xdr:pic>
      <xdr:nvPicPr>
        <xdr:cNvPr id="6" name="Рисунок 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38900" y="1266825"/>
          <a:ext cx="4473216" cy="2543175"/>
        </a:xfrm>
        <a:prstGeom prst="rect">
          <a:avLst/>
        </a:prstGeom>
      </xdr:spPr>
    </xdr:pic>
    <xdr:clientData/>
  </xdr:twoCellAnchor>
  <xdr:twoCellAnchor editAs="oneCell">
    <xdr:from>
      <xdr:col>9</xdr:col>
      <xdr:colOff>266700</xdr:colOff>
      <xdr:row>40</xdr:row>
      <xdr:rowOff>22142</xdr:rowOff>
    </xdr:from>
    <xdr:to>
      <xdr:col>15</xdr:col>
      <xdr:colOff>371475</xdr:colOff>
      <xdr:row>53</xdr:row>
      <xdr:rowOff>17537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438900" y="7261142"/>
          <a:ext cx="4219575" cy="23480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0</xdr:colOff>
      <xdr:row>29</xdr:row>
      <xdr:rowOff>164563</xdr:rowOff>
    </xdr:from>
    <xdr:to>
      <xdr:col>8</xdr:col>
      <xdr:colOff>571500</xdr:colOff>
      <xdr:row>47</xdr:row>
      <xdr:rowOff>142875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5412838"/>
          <a:ext cx="6057900" cy="323586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</xdr:row>
      <xdr:rowOff>38101</xdr:rowOff>
    </xdr:from>
    <xdr:to>
      <xdr:col>8</xdr:col>
      <xdr:colOff>355821</xdr:colOff>
      <xdr:row>29</xdr:row>
      <xdr:rowOff>47626</xdr:rowOff>
    </xdr:to>
    <xdr:pic>
      <xdr:nvPicPr>
        <xdr:cNvPr id="9" name="Рисунок 8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6675" y="762001"/>
          <a:ext cx="5775546" cy="4533900"/>
        </a:xfrm>
        <a:prstGeom prst="rect">
          <a:avLst/>
        </a:prstGeom>
      </xdr:spPr>
    </xdr:pic>
    <xdr:clientData/>
  </xdr:twoCellAnchor>
  <xdr:twoCellAnchor editAs="oneCell">
    <xdr:from>
      <xdr:col>0</xdr:col>
      <xdr:colOff>152399</xdr:colOff>
      <xdr:row>50</xdr:row>
      <xdr:rowOff>66675</xdr:rowOff>
    </xdr:from>
    <xdr:to>
      <xdr:col>7</xdr:col>
      <xdr:colOff>542924</xdr:colOff>
      <xdr:row>56</xdr:row>
      <xdr:rowOff>88378</xdr:rowOff>
    </xdr:to>
    <xdr:pic>
      <xdr:nvPicPr>
        <xdr:cNvPr id="10" name="Рисунок 9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b="52827"/>
        <a:stretch/>
      </xdr:blipFill>
      <xdr:spPr>
        <a:xfrm>
          <a:off x="152399" y="9115425"/>
          <a:ext cx="5191125" cy="1107553"/>
        </a:xfrm>
        <a:prstGeom prst="rect">
          <a:avLst/>
        </a:prstGeom>
      </xdr:spPr>
    </xdr:pic>
    <xdr:clientData/>
  </xdr:twoCellAnchor>
  <xdr:twoCellAnchor editAs="oneCell">
    <xdr:from>
      <xdr:col>16</xdr:col>
      <xdr:colOff>438150</xdr:colOff>
      <xdr:row>2</xdr:row>
      <xdr:rowOff>57150</xdr:rowOff>
    </xdr:from>
    <xdr:to>
      <xdr:col>25</xdr:col>
      <xdr:colOff>314325</xdr:colOff>
      <xdr:row>22</xdr:row>
      <xdr:rowOff>127159</xdr:rowOff>
    </xdr:to>
    <xdr:pic>
      <xdr:nvPicPr>
        <xdr:cNvPr id="11" name="Рисунок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1410950" y="419100"/>
          <a:ext cx="6048375" cy="3689509"/>
        </a:xfrm>
        <a:prstGeom prst="rect">
          <a:avLst/>
        </a:prstGeom>
      </xdr:spPr>
    </xdr:pic>
    <xdr:clientData/>
  </xdr:twoCellAnchor>
  <xdr:twoCellAnchor>
    <xdr:from>
      <xdr:col>0</xdr:col>
      <xdr:colOff>485775</xdr:colOff>
      <xdr:row>2</xdr:row>
      <xdr:rowOff>9525</xdr:rowOff>
    </xdr:from>
    <xdr:to>
      <xdr:col>2</xdr:col>
      <xdr:colOff>664543</xdr:colOff>
      <xdr:row>4</xdr:row>
      <xdr:rowOff>76199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485775" y="371475"/>
          <a:ext cx="1550368" cy="4286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41"/>
  <sheetViews>
    <sheetView tabSelected="1" zoomScaleNormal="100" workbookViewId="0">
      <selection activeCell="AH14" sqref="AH14"/>
    </sheetView>
  </sheetViews>
  <sheetFormatPr defaultRowHeight="15" x14ac:dyDescent="0.25"/>
  <cols>
    <col min="1" max="1" width="3.140625" customWidth="1"/>
    <col min="3" max="3" width="8.85546875" customWidth="1"/>
    <col min="13" max="13" width="18" customWidth="1"/>
    <col min="15" max="18" width="0" hidden="1" customWidth="1"/>
    <col min="19" max="23" width="5.7109375" hidden="1" customWidth="1"/>
    <col min="24" max="24" width="0" hidden="1" customWidth="1"/>
  </cols>
  <sheetData>
    <row r="1" spans="2:23" ht="7.5" customHeight="1" thickBot="1" x14ac:dyDescent="0.3"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2:23" ht="15.75" thickBot="1" x14ac:dyDescent="0.3">
      <c r="B2" s="64" t="s">
        <v>18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6"/>
      <c r="O2" s="49" t="s">
        <v>81</v>
      </c>
      <c r="P2" s="49" t="s">
        <v>52</v>
      </c>
      <c r="Q2" s="50"/>
      <c r="R2" s="50"/>
      <c r="S2" s="50"/>
      <c r="T2" s="50"/>
      <c r="U2" s="50"/>
      <c r="V2" s="50"/>
      <c r="W2" s="50"/>
    </row>
    <row r="3" spans="2:23" ht="16.5" customHeight="1" x14ac:dyDescent="0.25">
      <c r="B3" s="6"/>
      <c r="C3" s="7">
        <v>2</v>
      </c>
      <c r="D3" s="7"/>
      <c r="E3" s="8"/>
      <c r="F3" s="8"/>
      <c r="G3" s="8"/>
      <c r="H3" s="8"/>
      <c r="I3" s="9">
        <v>2</v>
      </c>
      <c r="J3" s="73" t="s">
        <v>48</v>
      </c>
      <c r="K3" s="8"/>
      <c r="L3" s="8"/>
      <c r="M3" s="10"/>
      <c r="O3" s="49" t="s">
        <v>82</v>
      </c>
      <c r="P3" s="49" t="s">
        <v>53</v>
      </c>
      <c r="Q3" s="50"/>
      <c r="R3" s="50"/>
      <c r="S3" s="50"/>
      <c r="T3" s="50"/>
      <c r="U3" s="50"/>
      <c r="V3" s="50"/>
      <c r="W3" s="50"/>
    </row>
    <row r="4" spans="2:23" ht="16.5" customHeight="1" x14ac:dyDescent="0.25">
      <c r="B4" s="36"/>
      <c r="C4" s="37"/>
      <c r="D4" s="37"/>
      <c r="E4" s="11"/>
      <c r="F4" s="11"/>
      <c r="G4" s="11"/>
      <c r="H4" s="11"/>
      <c r="I4" s="12">
        <v>2</v>
      </c>
      <c r="J4" s="73" t="s">
        <v>47</v>
      </c>
      <c r="K4" s="11"/>
      <c r="L4" s="11"/>
      <c r="M4" s="3"/>
      <c r="O4" s="49" t="s">
        <v>83</v>
      </c>
      <c r="P4" s="49" t="s">
        <v>54</v>
      </c>
      <c r="Q4" s="50"/>
      <c r="R4" s="50"/>
      <c r="S4" s="50"/>
      <c r="T4" s="50"/>
      <c r="U4" s="50"/>
      <c r="V4" s="50"/>
      <c r="W4" s="50"/>
    </row>
    <row r="5" spans="2:23" ht="16.5" customHeight="1" x14ac:dyDescent="0.25">
      <c r="B5" s="22"/>
      <c r="C5" s="11"/>
      <c r="D5" s="11"/>
      <c r="E5" s="11"/>
      <c r="F5" s="11"/>
      <c r="G5" s="11"/>
      <c r="H5" s="11"/>
      <c r="I5" s="12">
        <v>1</v>
      </c>
      <c r="J5" s="73" t="s">
        <v>19</v>
      </c>
      <c r="K5" s="11"/>
      <c r="L5" s="11"/>
      <c r="M5" s="3"/>
      <c r="O5" s="50"/>
      <c r="P5" s="49" t="s">
        <v>55</v>
      </c>
      <c r="Q5" s="50"/>
      <c r="R5" s="50"/>
      <c r="S5" s="50"/>
      <c r="T5" s="50"/>
      <c r="U5" s="50"/>
      <c r="V5" s="50"/>
      <c r="W5" s="50"/>
    </row>
    <row r="6" spans="2:23" ht="16.5" customHeight="1" x14ac:dyDescent="0.25">
      <c r="B6" s="22"/>
      <c r="C6" s="11"/>
      <c r="D6" s="11"/>
      <c r="E6" s="11"/>
      <c r="F6" s="11"/>
      <c r="G6" s="11"/>
      <c r="H6" s="11"/>
      <c r="I6" s="12">
        <v>1</v>
      </c>
      <c r="J6" s="73" t="s">
        <v>32</v>
      </c>
      <c r="K6" s="11"/>
      <c r="L6" s="11"/>
      <c r="M6" s="3"/>
      <c r="O6" s="51"/>
      <c r="P6" s="49" t="s">
        <v>56</v>
      </c>
      <c r="Q6" s="50"/>
      <c r="R6" s="50"/>
      <c r="S6" s="50"/>
      <c r="T6" s="50"/>
      <c r="U6" s="50"/>
      <c r="V6" s="50"/>
      <c r="W6" s="50"/>
    </row>
    <row r="7" spans="2:23" ht="16.5" customHeight="1" x14ac:dyDescent="0.25">
      <c r="B7" s="22"/>
      <c r="C7" s="11"/>
      <c r="D7" s="11"/>
      <c r="E7" s="11"/>
      <c r="F7" s="11"/>
      <c r="G7" s="11"/>
      <c r="H7" s="11"/>
      <c r="I7" s="12">
        <v>2</v>
      </c>
      <c r="J7" s="73" t="s">
        <v>37</v>
      </c>
      <c r="K7" s="11"/>
      <c r="L7" s="11"/>
      <c r="M7" s="3"/>
      <c r="O7" s="49" t="s">
        <v>71</v>
      </c>
      <c r="P7" s="50"/>
      <c r="Q7" s="50"/>
      <c r="R7" s="50"/>
      <c r="S7" s="50"/>
      <c r="T7" s="50"/>
      <c r="U7" s="50"/>
      <c r="V7" s="50"/>
      <c r="W7" s="50"/>
    </row>
    <row r="8" spans="2:23" ht="16.5" customHeight="1" x14ac:dyDescent="0.25">
      <c r="B8" s="22"/>
      <c r="C8" s="11"/>
      <c r="D8" s="11"/>
      <c r="E8" s="11"/>
      <c r="F8" s="11"/>
      <c r="G8" s="23"/>
      <c r="H8" s="11"/>
      <c r="I8" s="12">
        <v>5</v>
      </c>
      <c r="J8" s="73" t="s">
        <v>57</v>
      </c>
      <c r="K8" s="11"/>
      <c r="L8" s="11"/>
      <c r="M8" s="3"/>
      <c r="O8" s="49" t="s">
        <v>20</v>
      </c>
      <c r="P8" s="50"/>
      <c r="Q8" s="50"/>
      <c r="R8" s="50"/>
      <c r="S8" s="50"/>
      <c r="T8" s="50"/>
      <c r="U8" s="50"/>
      <c r="V8" s="50"/>
      <c r="W8" s="50"/>
    </row>
    <row r="9" spans="2:23" ht="16.5" customHeight="1" x14ac:dyDescent="0.25">
      <c r="B9" s="5" t="s">
        <v>9</v>
      </c>
      <c r="C9" s="2">
        <v>1.5</v>
      </c>
      <c r="D9" s="13" t="s">
        <v>74</v>
      </c>
      <c r="E9" s="11"/>
      <c r="F9" s="11"/>
      <c r="G9" s="23"/>
      <c r="H9" s="11"/>
      <c r="I9" s="11"/>
      <c r="J9" s="11"/>
      <c r="K9" s="11"/>
      <c r="L9" s="11"/>
      <c r="M9" s="3"/>
      <c r="O9" s="49" t="s">
        <v>21</v>
      </c>
      <c r="P9" s="50"/>
      <c r="Q9" s="50"/>
      <c r="R9" s="50"/>
      <c r="S9" s="50"/>
      <c r="T9" s="50"/>
      <c r="U9" s="50"/>
      <c r="V9" s="50"/>
      <c r="W9" s="50"/>
    </row>
    <row r="10" spans="2:23" ht="16.5" customHeight="1" x14ac:dyDescent="0.25">
      <c r="B10" s="14" t="s">
        <v>23</v>
      </c>
      <c r="C10" s="2">
        <v>8</v>
      </c>
      <c r="D10" s="13" t="s">
        <v>77</v>
      </c>
      <c r="E10" s="11"/>
      <c r="F10" s="11"/>
      <c r="G10" s="11"/>
      <c r="H10" s="11"/>
      <c r="I10" s="11"/>
      <c r="J10" s="11"/>
      <c r="K10" s="11"/>
      <c r="L10" s="11"/>
      <c r="M10" s="3"/>
      <c r="O10" s="49" t="s">
        <v>68</v>
      </c>
      <c r="P10" s="50"/>
      <c r="Q10" s="50"/>
      <c r="R10" s="50"/>
      <c r="S10" s="50"/>
      <c r="T10" s="50"/>
      <c r="U10" s="50"/>
      <c r="V10" s="50"/>
      <c r="W10" s="50"/>
    </row>
    <row r="11" spans="2:23" ht="16.5" hidden="1" customHeight="1" x14ac:dyDescent="0.25">
      <c r="B11" s="5" t="s">
        <v>4</v>
      </c>
      <c r="C11" s="2">
        <v>1.7</v>
      </c>
      <c r="D11" s="13" t="s">
        <v>3</v>
      </c>
      <c r="E11" s="11"/>
      <c r="F11" s="11"/>
      <c r="G11" s="11"/>
      <c r="H11" s="11"/>
      <c r="I11" s="11"/>
      <c r="J11" s="11"/>
      <c r="K11" s="11"/>
      <c r="L11" s="41">
        <f>C14-(C14-C23)/2</f>
        <v>2.8250000000000002</v>
      </c>
      <c r="M11" s="3"/>
      <c r="O11" s="49" t="s">
        <v>69</v>
      </c>
      <c r="P11" s="50"/>
      <c r="Q11" s="50"/>
      <c r="R11" s="50"/>
      <c r="S11" s="50"/>
      <c r="T11" s="50"/>
      <c r="U11" s="50"/>
      <c r="V11" s="50"/>
      <c r="W11" s="50"/>
    </row>
    <row r="12" spans="2:23" ht="16.5" customHeight="1" thickBot="1" x14ac:dyDescent="0.3">
      <c r="B12" s="39" t="s">
        <v>51</v>
      </c>
      <c r="C12" s="20">
        <v>0</v>
      </c>
      <c r="D12" s="40" t="s">
        <v>50</v>
      </c>
      <c r="E12" s="21"/>
      <c r="F12" s="21"/>
      <c r="G12" s="21"/>
      <c r="H12" s="21"/>
      <c r="I12" s="21"/>
      <c r="J12" s="21"/>
      <c r="K12" s="21"/>
      <c r="L12" s="41">
        <f>5*ROUNDDOWN(C12/5,0)</f>
        <v>0</v>
      </c>
      <c r="M12" s="4"/>
      <c r="O12" s="49" t="s">
        <v>70</v>
      </c>
      <c r="P12" s="50"/>
      <c r="Q12" s="50"/>
      <c r="R12" s="50"/>
      <c r="S12" s="50"/>
      <c r="T12" s="50"/>
      <c r="U12" s="50"/>
      <c r="V12" s="50"/>
      <c r="W12" s="50"/>
    </row>
    <row r="13" spans="2:23" ht="16.5" customHeight="1" thickBot="1" x14ac:dyDescent="0.3">
      <c r="B13" s="67" t="s">
        <v>29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9"/>
      <c r="O13" s="49"/>
      <c r="P13" s="50"/>
      <c r="Q13" s="50"/>
      <c r="R13" s="50"/>
      <c r="S13" s="50"/>
      <c r="T13" s="50"/>
      <c r="U13" s="50"/>
      <c r="V13" s="50"/>
      <c r="W13" s="50"/>
    </row>
    <row r="14" spans="2:23" ht="16.5" customHeight="1" x14ac:dyDescent="0.25">
      <c r="B14" s="5" t="s">
        <v>108</v>
      </c>
      <c r="C14" s="26">
        <v>4</v>
      </c>
      <c r="D14" s="13" t="s">
        <v>0</v>
      </c>
      <c r="E14" s="11"/>
      <c r="F14" s="11"/>
      <c r="G14" s="11"/>
      <c r="H14" s="11"/>
      <c r="I14" s="11"/>
      <c r="J14" s="11"/>
      <c r="K14" s="11"/>
      <c r="L14" s="11"/>
      <c r="M14" s="3"/>
      <c r="O14" s="50"/>
      <c r="P14" s="50"/>
      <c r="Q14" s="50"/>
      <c r="R14" s="50"/>
      <c r="S14" s="50"/>
      <c r="T14" s="50"/>
      <c r="U14" s="50"/>
      <c r="V14" s="50"/>
      <c r="W14" s="50"/>
    </row>
    <row r="15" spans="2:23" ht="16.5" customHeight="1" x14ac:dyDescent="0.25">
      <c r="B15" s="5" t="s">
        <v>26</v>
      </c>
      <c r="C15" s="2">
        <v>0.8</v>
      </c>
      <c r="D15" s="13" t="s">
        <v>24</v>
      </c>
      <c r="E15" s="11"/>
      <c r="F15" s="11"/>
      <c r="G15" s="11"/>
      <c r="H15" s="11"/>
      <c r="I15" s="11"/>
      <c r="J15" s="11"/>
      <c r="K15" s="11"/>
      <c r="L15" s="11"/>
      <c r="M15" s="3"/>
      <c r="O15" s="49" t="s">
        <v>33</v>
      </c>
      <c r="P15" s="50"/>
      <c r="Q15" s="50"/>
      <c r="R15" s="50"/>
      <c r="S15" s="50"/>
      <c r="T15" s="50"/>
      <c r="U15" s="50"/>
      <c r="V15" s="50"/>
      <c r="W15" s="50"/>
    </row>
    <row r="16" spans="2:23" ht="16.5" customHeight="1" x14ac:dyDescent="0.25">
      <c r="B16" s="5" t="s">
        <v>6</v>
      </c>
      <c r="C16" s="2">
        <v>0.8</v>
      </c>
      <c r="D16" s="13" t="s">
        <v>25</v>
      </c>
      <c r="E16" s="11"/>
      <c r="F16" s="11"/>
      <c r="G16" s="11"/>
      <c r="H16" s="11"/>
      <c r="I16" s="11"/>
      <c r="J16" s="11"/>
      <c r="K16" s="11"/>
      <c r="L16" s="11"/>
      <c r="M16" s="3"/>
      <c r="O16" s="49" t="s">
        <v>34</v>
      </c>
      <c r="P16" s="50"/>
      <c r="Q16" s="50"/>
      <c r="R16" s="50"/>
      <c r="S16" s="49" t="s">
        <v>84</v>
      </c>
      <c r="T16" s="50"/>
      <c r="U16" s="50"/>
      <c r="V16" s="50"/>
      <c r="W16" s="50"/>
    </row>
    <row r="17" spans="2:23" ht="16.5" customHeight="1" x14ac:dyDescent="0.25">
      <c r="B17" s="5" t="s">
        <v>106</v>
      </c>
      <c r="C17" s="2">
        <v>0.8</v>
      </c>
      <c r="D17" s="13" t="s">
        <v>27</v>
      </c>
      <c r="E17" s="11"/>
      <c r="F17" s="11"/>
      <c r="G17" s="11"/>
      <c r="H17" s="11"/>
      <c r="I17" s="11"/>
      <c r="J17" s="16"/>
      <c r="K17" s="17"/>
      <c r="L17" s="13"/>
      <c r="M17" s="3"/>
      <c r="O17" s="49" t="s">
        <v>35</v>
      </c>
      <c r="P17" s="50"/>
      <c r="Q17" s="50"/>
      <c r="R17" s="50"/>
      <c r="S17" s="49" t="s">
        <v>85</v>
      </c>
      <c r="T17" s="50"/>
      <c r="U17" s="50"/>
      <c r="V17" s="50"/>
      <c r="W17" s="50"/>
    </row>
    <row r="18" spans="2:23" ht="16.5" customHeight="1" x14ac:dyDescent="0.25">
      <c r="B18" s="5" t="s">
        <v>107</v>
      </c>
      <c r="C18" s="18">
        <v>0.8</v>
      </c>
      <c r="D18" s="13" t="s">
        <v>28</v>
      </c>
      <c r="E18" s="11"/>
      <c r="F18" s="11"/>
      <c r="G18" s="11"/>
      <c r="H18" s="11"/>
      <c r="I18" s="11"/>
      <c r="J18" s="16"/>
      <c r="K18" s="17"/>
      <c r="L18" s="13"/>
      <c r="M18" s="3"/>
      <c r="O18" s="49" t="s">
        <v>36</v>
      </c>
      <c r="P18" s="50"/>
      <c r="Q18" s="50"/>
      <c r="R18" s="50"/>
      <c r="S18" s="50"/>
      <c r="T18" s="50"/>
      <c r="U18" s="50"/>
      <c r="V18" s="50"/>
      <c r="W18" s="50"/>
    </row>
    <row r="19" spans="2:23" ht="16.5" customHeight="1" thickBot="1" x14ac:dyDescent="0.3">
      <c r="B19" s="19" t="s">
        <v>10</v>
      </c>
      <c r="C19" s="20">
        <v>0</v>
      </c>
      <c r="D19" s="25" t="s">
        <v>63</v>
      </c>
      <c r="E19" s="21"/>
      <c r="F19" s="21"/>
      <c r="G19" s="21"/>
      <c r="H19" s="21"/>
      <c r="I19" s="21"/>
      <c r="J19" s="21"/>
      <c r="K19" s="21"/>
      <c r="L19" s="21"/>
      <c r="M19" s="4"/>
      <c r="O19" s="49" t="s">
        <v>40</v>
      </c>
      <c r="P19" s="50"/>
      <c r="Q19" s="50"/>
      <c r="R19" s="50"/>
      <c r="S19" s="50"/>
      <c r="T19" s="50"/>
      <c r="U19" s="50"/>
      <c r="V19" s="50"/>
      <c r="W19" s="50"/>
    </row>
    <row r="20" spans="2:23" ht="16.5" customHeight="1" thickBot="1" x14ac:dyDescent="0.3">
      <c r="B20" s="67" t="s">
        <v>62</v>
      </c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/>
      <c r="O20" s="49" t="s">
        <v>44</v>
      </c>
      <c r="P20" s="50"/>
      <c r="Q20" s="50"/>
      <c r="R20" s="50"/>
      <c r="S20" s="50"/>
      <c r="T20" s="50"/>
      <c r="U20" s="50"/>
      <c r="V20" s="50"/>
      <c r="W20" s="50"/>
    </row>
    <row r="21" spans="2:23" ht="16.5" customHeight="1" x14ac:dyDescent="0.25">
      <c r="B21" s="5" t="s">
        <v>13</v>
      </c>
      <c r="C21" s="46">
        <f>IF(C14&gt;(C23+C19),(C15+C16)*2*C19+(C17+C18)*2*(C14-C23-C19),IF(C14&gt;C23,(C15+C16)*2*(C14-C23),"Лоб. пуч."))</f>
        <v>7.52</v>
      </c>
      <c r="D21" s="13" t="s">
        <v>12</v>
      </c>
      <c r="E21" s="11"/>
      <c r="F21" s="11"/>
      <c r="G21" s="11"/>
      <c r="H21" s="47">
        <f>IF(C14&gt;(H23+C19),(C15+C16)*2*C19+(C17+C18)*2*(C14-H23-C19),IF(C14&gt;H23,(C15+C16)*2*(C14-H23),"Лоб. пуч."))</f>
        <v>7.52</v>
      </c>
      <c r="I21" s="11"/>
      <c r="J21" s="11"/>
      <c r="K21" s="11"/>
      <c r="L21" s="11"/>
      <c r="M21" s="3"/>
      <c r="O21" s="49" t="s">
        <v>45</v>
      </c>
      <c r="P21" s="50"/>
      <c r="Q21" s="50"/>
      <c r="R21" s="50"/>
      <c r="S21" s="50"/>
      <c r="T21" s="50"/>
      <c r="U21" s="50"/>
      <c r="V21" s="50"/>
      <c r="W21" s="50"/>
    </row>
    <row r="22" spans="2:23" ht="16.5" customHeight="1" x14ac:dyDescent="0.25">
      <c r="B22" s="5" t="s">
        <v>58</v>
      </c>
      <c r="C22" s="29">
        <f>IF(OR(C12&lt;0,I8=5),1.1,IF(I8=1,IF(L12=0,0.9,IF(L12=5,0.8,IF(L12=10,0.7,IF(L12=15,0.6,IF(L12&gt;=20,0.5))))),IF(I8=2,IF(L12=0,1,IF(L12=5,0.9,IF(L12=10,0.8,IF(L12=15,0.7,IF(L12&gt;=20,0.6))))),IF(I8=3,IF(L12=0,1,IF(L12=5,1,IF(L12=10,0.9,IF(L12=15,0.8,IF(L12&gt;=20,0.7))))),IF(I8=4,IF(L12=0,0.8,IF(L12=5,0.7,IF(L12=10,0.6,IF(L12=15,0.5,IF(L12&gt;=20,0.4))))))))))</f>
        <v>1.1000000000000001</v>
      </c>
      <c r="D22" s="13" t="s">
        <v>64</v>
      </c>
      <c r="H22" s="11"/>
      <c r="I22" s="11"/>
      <c r="J22" s="11"/>
      <c r="K22" s="11"/>
      <c r="L22" s="11"/>
      <c r="M22" s="3"/>
      <c r="O22" s="49" t="s">
        <v>46</v>
      </c>
      <c r="P22" s="50"/>
      <c r="Q22" s="50"/>
      <c r="R22" s="50"/>
      <c r="S22" s="50"/>
      <c r="T22" s="50"/>
      <c r="U22" s="50"/>
      <c r="V22" s="50"/>
      <c r="W22" s="50"/>
    </row>
    <row r="23" spans="2:23" ht="16.5" customHeight="1" x14ac:dyDescent="0.25">
      <c r="B23" s="5" t="s">
        <v>7</v>
      </c>
      <c r="C23" s="29">
        <f>C22*C9</f>
        <v>1.6500000000000001</v>
      </c>
      <c r="D23" s="13" t="s">
        <v>22</v>
      </c>
      <c r="E23" s="11"/>
      <c r="F23" s="11"/>
      <c r="G23" s="11"/>
      <c r="H23" s="47">
        <f>IF(C23&lt;=2,C23,2)</f>
        <v>1.6500000000000001</v>
      </c>
      <c r="I23" s="11"/>
      <c r="J23" s="11"/>
      <c r="K23" s="11"/>
      <c r="L23" s="11"/>
      <c r="M23" s="3"/>
      <c r="O23" s="49" t="s">
        <v>86</v>
      </c>
      <c r="P23" s="50"/>
      <c r="Q23" s="50"/>
      <c r="R23" s="50"/>
      <c r="S23" s="50"/>
      <c r="T23" s="50"/>
      <c r="U23" s="50"/>
      <c r="V23" s="50"/>
      <c r="W23" s="50"/>
    </row>
    <row r="24" spans="2:23" ht="16.5" customHeight="1" x14ac:dyDescent="0.25">
      <c r="B24" s="43" t="s">
        <v>14</v>
      </c>
      <c r="C24" s="1">
        <f>IF(I4=1,IF(L11&gt;5,W25,IF(L11&gt;4,V25,IF(L11&gt;3,U25,IF(L11&gt;2,T25,S25)))),IF(I4=2,IF(L11&gt;5,W26,IF(L11&gt;4,V26,IF(L11&gt;3,U26,IF(L11&gt;2,T26,S26)))),IF(I4=3,IF(L11&gt;5,W27,IF(L11&gt;4,V27,IF(L11&gt;3,U27,IF(L11&gt;2,T27,S27)))),IF(I4=4,IF(L11&gt;5,W28,IF(L11&gt;4,V28,IF(L11&gt;3,U28,IF(L11&gt;2,T28,S28)))),IF(I4=5,IF(L11&gt;5,W29,IF(L11&gt;4,V29,IF(L11&gt;3,U29,IF(L11&gt;2,T29,S29)))),IF(I4=6,IF(L11&gt;5,W30,IF(L11&gt;4,V30,IF(L11&gt;3,U30,IF(L11&gt;2,T30,S30)))),IF(I4=7,IF(L11&gt;5,W31,IF(L11&gt;4,V31,IF(L11&gt;3,U31,IF(L11&gt;2,T31,S31)))),IF(I4=8,IF(L11&gt;5,W32,IF(L11&gt;4,V32,IF(L11&gt;3,U32,IF(L11&gt;2,T32,S32)))),IF(I4=9,IF(L11&gt;5,W33,IF(L11&gt;4,V33,IF(L11&gt;3,U33,IF(L11&gt;2,T33,S33)))),)))))))))</f>
        <v>3</v>
      </c>
      <c r="D24" s="13" t="s">
        <v>49</v>
      </c>
      <c r="E24" s="31"/>
      <c r="F24" s="11"/>
      <c r="G24" s="11"/>
      <c r="H24" s="11"/>
      <c r="I24" s="11"/>
      <c r="J24" s="11"/>
      <c r="K24" s="11"/>
      <c r="L24" s="11"/>
      <c r="M24" s="3"/>
      <c r="O24" s="49"/>
      <c r="P24" s="50"/>
      <c r="Q24" s="50"/>
      <c r="R24" s="50"/>
      <c r="S24" s="50"/>
      <c r="T24" s="50"/>
      <c r="U24" s="50"/>
      <c r="V24" s="50"/>
      <c r="W24" s="50"/>
    </row>
    <row r="25" spans="2:23" ht="16.5" customHeight="1" x14ac:dyDescent="0.25">
      <c r="B25" s="5" t="s">
        <v>8</v>
      </c>
      <c r="C25" s="42">
        <f>IF(I3=1,IF(C23&lt;1,130,IF(C23&gt;3,90,IF(C23&lt;=2,130-20*(C23-1),110-20*(C23-2)))),IF(I3=2,IF(C23&lt;1,100,IF(C23&gt;3,70,IF(C23&lt;=2,100-10*(C23-1),90-20*(C23-2)))),IF(C23&lt;1.5,80,IF(C23&gt;3,50,IF(C23&lt;=2,80-10*(C23-1),70-20*(C23-2))))))/10</f>
        <v>9.35</v>
      </c>
      <c r="D25" s="13" t="s">
        <v>73</v>
      </c>
      <c r="E25" s="31"/>
      <c r="F25" s="11"/>
      <c r="G25" s="11"/>
      <c r="H25" s="11"/>
      <c r="I25" s="11"/>
      <c r="J25" s="11"/>
      <c r="K25" s="11"/>
      <c r="L25" s="13"/>
      <c r="M25" s="3"/>
      <c r="O25" s="49" t="s">
        <v>87</v>
      </c>
      <c r="P25" s="50"/>
      <c r="Q25" s="50"/>
      <c r="R25" s="50"/>
      <c r="S25" s="52">
        <v>3.5</v>
      </c>
      <c r="T25" s="52">
        <v>4.2</v>
      </c>
      <c r="U25" s="52">
        <v>4.8</v>
      </c>
      <c r="V25" s="52">
        <v>5.3</v>
      </c>
      <c r="W25" s="52">
        <v>5.6</v>
      </c>
    </row>
    <row r="26" spans="2:23" ht="16.5" customHeight="1" x14ac:dyDescent="0.25">
      <c r="B26" s="5" t="s">
        <v>8</v>
      </c>
      <c r="C26" s="42">
        <f>IF(I3=1,IF(C23&lt;1.5,110,IF(C23&gt;3,70,IF(C23&lt;=2.5,110-20*(C23-1.5),90-20*(C23-2.5)/0.5))),IF(I3=2,IF(C23&lt;1.5,90,IF(C23&gt;3,55,IF(C23&lt;=2.5,90-20*(C23-1.5),70-15*(C23-2.5)/0.5))),IF(C23&lt;1.5,70,IF(C23&gt;3,40,IF(C23&lt;=2.5,70-15*(C23-1.5),55-15*(C23-2.5)/0.5)))))/10</f>
        <v>8.6999999999999993</v>
      </c>
      <c r="D26" s="13" t="s">
        <v>72</v>
      </c>
      <c r="E26" s="11"/>
      <c r="F26" s="31"/>
      <c r="G26" s="31"/>
      <c r="H26" s="31"/>
      <c r="I26" s="31"/>
      <c r="J26" s="31"/>
      <c r="K26" s="13" t="s">
        <v>104</v>
      </c>
      <c r="L26" s="16" t="s">
        <v>79</v>
      </c>
      <c r="M26" s="48">
        <f>1-1.75*(M32/SQRT(C17*C18)+M33/SQRT(C15*C16))*(C15*C16-C17*C18)/(C14-C19)</f>
        <v>1</v>
      </c>
      <c r="O26" s="49" t="s">
        <v>88</v>
      </c>
      <c r="P26" s="50"/>
      <c r="Q26" s="50"/>
      <c r="R26" s="50"/>
      <c r="S26" s="52">
        <v>2.2999999999999998</v>
      </c>
      <c r="T26" s="52">
        <v>3</v>
      </c>
      <c r="U26" s="52">
        <v>3.5</v>
      </c>
      <c r="V26" s="52">
        <v>3.8</v>
      </c>
      <c r="W26" s="52">
        <v>4</v>
      </c>
    </row>
    <row r="27" spans="2:23" ht="16.5" customHeight="1" x14ac:dyDescent="0.25">
      <c r="B27" s="5" t="s">
        <v>8</v>
      </c>
      <c r="C27" s="42">
        <f>IF(I3=1,10,IF(I3=2,8,6))</f>
        <v>8</v>
      </c>
      <c r="D27" s="13" t="s">
        <v>75</v>
      </c>
      <c r="E27" s="11"/>
      <c r="F27" s="31"/>
      <c r="G27" s="31"/>
      <c r="H27" s="31"/>
      <c r="I27" s="31"/>
      <c r="J27" s="31"/>
      <c r="K27" s="31"/>
      <c r="L27" s="11"/>
      <c r="M27" s="3"/>
      <c r="O27" s="49" t="s">
        <v>89</v>
      </c>
      <c r="P27" s="50"/>
      <c r="Q27" s="50"/>
      <c r="R27" s="50"/>
      <c r="S27" s="52">
        <v>1.5</v>
      </c>
      <c r="T27" s="52">
        <v>2.1</v>
      </c>
      <c r="U27" s="52">
        <v>2.5</v>
      </c>
      <c r="V27" s="52">
        <v>2.7</v>
      </c>
      <c r="W27" s="52">
        <v>2.9</v>
      </c>
    </row>
    <row r="28" spans="2:23" ht="16.5" customHeight="1" x14ac:dyDescent="0.25">
      <c r="B28" s="5" t="s">
        <v>1</v>
      </c>
      <c r="C28" s="44">
        <f>(C19*C16*C15+C17*C18*(C14-C19))*2.5</f>
        <v>6.4000000000000012</v>
      </c>
      <c r="D28" s="13" t="s">
        <v>2</v>
      </c>
      <c r="F28" s="11"/>
      <c r="G28" s="11"/>
      <c r="H28" s="11"/>
      <c r="I28" s="11"/>
      <c r="J28" s="11"/>
      <c r="K28" s="11"/>
      <c r="L28" s="53" t="s">
        <v>96</v>
      </c>
      <c r="M28" s="54">
        <f>(C14-C19)/SQRT(C17*C18)</f>
        <v>5</v>
      </c>
      <c r="O28" s="49" t="s">
        <v>90</v>
      </c>
      <c r="P28" s="50"/>
      <c r="Q28" s="50"/>
      <c r="R28" s="50"/>
      <c r="S28" s="52">
        <v>1.2</v>
      </c>
      <c r="T28" s="52">
        <v>1.7</v>
      </c>
      <c r="U28" s="52">
        <v>2</v>
      </c>
      <c r="V28" s="52">
        <v>2.2000000000000002</v>
      </c>
      <c r="W28" s="52">
        <v>2.4</v>
      </c>
    </row>
    <row r="29" spans="2:23" ht="16.5" customHeight="1" x14ac:dyDescent="0.25">
      <c r="B29" s="5" t="s">
        <v>30</v>
      </c>
      <c r="C29" s="45">
        <f>IF(AND(C15&gt;=C17,C16&gt;=C18),(C15*C16-C17*C18)*(C14-C19)*1.6,"не верн. разм.")</f>
        <v>0</v>
      </c>
      <c r="D29" s="13" t="s">
        <v>31</v>
      </c>
      <c r="E29" s="11"/>
      <c r="F29" s="11"/>
      <c r="G29" s="11"/>
      <c r="H29" s="11"/>
      <c r="I29" s="11"/>
      <c r="J29" s="11"/>
      <c r="K29" s="11"/>
      <c r="L29" s="53" t="s">
        <v>97</v>
      </c>
      <c r="M29" s="54">
        <f>(C14-C19)/SQRT(C15*C16)</f>
        <v>5</v>
      </c>
      <c r="O29" s="49" t="s">
        <v>91</v>
      </c>
      <c r="P29" s="50"/>
      <c r="Q29" s="50"/>
      <c r="R29" s="50"/>
      <c r="S29" s="52">
        <v>0.8</v>
      </c>
      <c r="T29" s="52">
        <v>1.2</v>
      </c>
      <c r="U29" s="52">
        <v>1.4</v>
      </c>
      <c r="V29" s="52">
        <v>1.6</v>
      </c>
      <c r="W29" s="52">
        <v>1.7</v>
      </c>
    </row>
    <row r="30" spans="2:23" ht="16.5" customHeight="1" x14ac:dyDescent="0.25">
      <c r="B30" s="5" t="s">
        <v>11</v>
      </c>
      <c r="C30" s="1">
        <f>((C15+C16)*2*C19+(C17+C18)*2*(C14-C19))-C21</f>
        <v>5.2800000000000011</v>
      </c>
      <c r="D30" s="13" t="s">
        <v>15</v>
      </c>
      <c r="E30" s="11"/>
      <c r="F30" s="11"/>
      <c r="G30" s="11"/>
      <c r="H30" s="47">
        <f>((C15+C16)*2*C19+(C17+C18)*2*(C14-C19))-H21</f>
        <v>5.2800000000000011</v>
      </c>
      <c r="I30" s="11"/>
      <c r="J30" s="11"/>
      <c r="K30" s="11"/>
      <c r="L30" s="53" t="s">
        <v>98</v>
      </c>
      <c r="M30" s="54">
        <f>C23/SQRT(C18*C17)</f>
        <v>2.0625</v>
      </c>
      <c r="O30" s="49" t="s">
        <v>92</v>
      </c>
      <c r="P30" s="50"/>
      <c r="Q30" s="50"/>
      <c r="R30" s="50"/>
      <c r="S30" s="52">
        <v>0.4</v>
      </c>
      <c r="T30" s="52">
        <v>0.7</v>
      </c>
      <c r="U30" s="52">
        <v>0.8</v>
      </c>
      <c r="V30" s="52">
        <v>0.9</v>
      </c>
      <c r="W30" s="52">
        <v>1</v>
      </c>
    </row>
    <row r="31" spans="2:23" ht="16.5" customHeight="1" x14ac:dyDescent="0.25">
      <c r="B31" s="5" t="s">
        <v>59</v>
      </c>
      <c r="C31" s="29">
        <f>IF(I6=1,1,IF(I6=2,0.7,IF(I6=3,0.45,IF(I6=4,0.6,IF(I6=5,0.8,IF(I6=6,0.6,IF(I6=7,0.45,IF(I6=8,0.35,0.1))))))))</f>
        <v>1</v>
      </c>
      <c r="D31" s="13" t="s">
        <v>39</v>
      </c>
      <c r="E31" s="11"/>
      <c r="F31" s="11"/>
      <c r="G31" s="11"/>
      <c r="H31" s="11"/>
      <c r="I31" s="11"/>
      <c r="J31" s="11"/>
      <c r="K31" s="11"/>
      <c r="L31" s="53" t="s">
        <v>99</v>
      </c>
      <c r="M31" s="54">
        <f>C23/SQRT(C15*C16)</f>
        <v>2.0625</v>
      </c>
      <c r="O31" s="49" t="s">
        <v>93</v>
      </c>
      <c r="P31" s="50"/>
      <c r="Q31" s="50"/>
      <c r="R31" s="50"/>
      <c r="S31" s="52">
        <v>0.4</v>
      </c>
      <c r="T31" s="52">
        <v>0.5</v>
      </c>
      <c r="U31" s="52">
        <v>0.7</v>
      </c>
      <c r="V31" s="52">
        <v>0.8</v>
      </c>
      <c r="W31" s="52">
        <v>0.8</v>
      </c>
    </row>
    <row r="32" spans="2:23" ht="16.5" customHeight="1" x14ac:dyDescent="0.25">
      <c r="B32" s="15" t="s">
        <v>60</v>
      </c>
      <c r="C32" s="1">
        <f>IF(AND(I7=1,I6=3),0.5,IF(I7=1,0.7,1))</f>
        <v>1</v>
      </c>
      <c r="D32" s="13" t="s">
        <v>65</v>
      </c>
      <c r="E32" s="11"/>
      <c r="F32" s="11"/>
      <c r="G32" s="11"/>
      <c r="H32" s="11"/>
      <c r="I32" s="11"/>
      <c r="J32" s="11"/>
      <c r="K32" s="11"/>
      <c r="L32" s="55" t="s">
        <v>100</v>
      </c>
      <c r="M32" s="56">
        <f>IF(ROUND(M30,0)&lt;=0.5,O35,IF(ROUND(M30,0)=1,P35,IF(ROUND(M30,0)=2,Q35,IF(ROUND(M30,0)=3,R35,IF(ROUND(M30,0)=4,S35,IF(ROUND(M30,0)=5,T35,IF(ROUND(M30,0)&gt;=6,U35,)))))))</f>
        <v>1.2E-2</v>
      </c>
      <c r="O32" s="49" t="s">
        <v>94</v>
      </c>
      <c r="P32" s="50"/>
      <c r="Q32" s="50"/>
      <c r="R32" s="50"/>
      <c r="S32" s="52">
        <v>0.3</v>
      </c>
      <c r="T32" s="52">
        <v>0.4</v>
      </c>
      <c r="U32" s="52">
        <v>0.6</v>
      </c>
      <c r="V32" s="52">
        <v>0.7</v>
      </c>
      <c r="W32" s="52">
        <v>0.7</v>
      </c>
    </row>
    <row r="33" spans="2:24" ht="16.5" customHeight="1" thickBot="1" x14ac:dyDescent="0.3">
      <c r="B33" s="28" t="s">
        <v>61</v>
      </c>
      <c r="C33" s="30">
        <f>IF(I5=1,1,IF(I5=2,1.15,IF(I5=3,1.35,IF(I5=4,0.9,IF(I5=5,0.8,0.7)))))</f>
        <v>1</v>
      </c>
      <c r="D33" s="13" t="s">
        <v>66</v>
      </c>
      <c r="E33" s="24"/>
      <c r="F33" s="27"/>
      <c r="G33" s="21"/>
      <c r="H33" s="21"/>
      <c r="I33" s="21"/>
      <c r="J33" s="21"/>
      <c r="K33" s="21"/>
      <c r="L33" s="53" t="s">
        <v>101</v>
      </c>
      <c r="M33" s="56">
        <f>IF(ROUND(M31,0)&lt;=0.5,O36,IF(ROUND(M31,0)=1,P36,IF(ROUND(M31,0)=2,Q36,IF(ROUND(M31,0)=3,R36,IF(ROUND(M31,0)=4,S36,IF(ROUND(M31,0)=5,T36,IF(ROUND(M31,0)&gt;=6,U36,)))))))</f>
        <v>1.2E-2</v>
      </c>
      <c r="O33" s="49" t="s">
        <v>95</v>
      </c>
      <c r="P33" s="50"/>
      <c r="Q33" s="50"/>
      <c r="R33" s="50"/>
      <c r="S33" s="52">
        <v>0.2</v>
      </c>
      <c r="T33" s="52">
        <v>0.4</v>
      </c>
      <c r="U33" s="52">
        <v>0.5</v>
      </c>
      <c r="V33" s="52">
        <v>0.5</v>
      </c>
      <c r="W33" s="52">
        <v>0.5</v>
      </c>
    </row>
    <row r="34" spans="2:24" ht="16.5" customHeight="1" thickBot="1" x14ac:dyDescent="0.3">
      <c r="B34" s="67" t="s">
        <v>67</v>
      </c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9"/>
      <c r="O34" s="50"/>
      <c r="P34" s="50"/>
      <c r="Q34" s="50"/>
      <c r="R34" s="50"/>
      <c r="S34" s="50"/>
      <c r="T34" s="50"/>
      <c r="U34" s="50"/>
      <c r="V34" s="50"/>
      <c r="W34" s="50"/>
    </row>
    <row r="35" spans="2:24" ht="30" customHeight="1" thickBot="1" x14ac:dyDescent="0.35">
      <c r="B35" s="62" t="s">
        <v>16</v>
      </c>
      <c r="C35" s="63"/>
      <c r="D35" s="62" t="s">
        <v>17</v>
      </c>
      <c r="E35" s="63"/>
      <c r="F35" s="70" t="s">
        <v>41</v>
      </c>
      <c r="G35" s="71"/>
      <c r="O35" s="52">
        <f>IF(M28&lt;=1,0.029,IF(ROUND(M28,0)=2,0.015,IF(ROUND(M28,0)=3,0.007,IF(ROUND(M28,0)=4,0.004,IF(ROUND(M28,0)=5,0.003,IF(ROUND(M28,0)=6,0.002,IF(ROUND(M28,0)=7,0.002,IF(ROUND(M28,0)=8,0.001,IF(ROUND(M28,0)=9,0.001,IF(ROUND(M28,0)&gt;=10,0.001,))))))))))</f>
        <v>3.0000000000000001E-3</v>
      </c>
      <c r="P35" s="52">
        <f>IF(M28&lt;=1,0.058,IF(ROUND(M28,0)=2,0.031,IF(ROUND(M28,0)=3,0.015,IF(ROUND(M28,0)=4,0.008,IF(ROUND(M28,0)=5,0.006,IF(ROUND(M28,0)=6,0.002,IF(ROUND(M28,0)=7,0.003,IF(ROUND(M28,0)=8,0.002,IF(ROUND(M28,0)=9,0.002,IF(ROUND(M28,0)&gt;=10,0.001,))))))))))</f>
        <v>6.0000000000000001E-3</v>
      </c>
      <c r="Q35" s="52">
        <f>IF(M28&lt;=1,0.088,IF(ROUND(M28,0)=2,0.067,IF(ROUND(M28,0)=3,0.034,IF(ROUND(M28,0)=4,0.019,IF(ROUND(M28,0)=5,0.012,IF(ROUND(M28,0)=6,0.008,IF(ROUND(M28,0)=7,0.006,IF(ROUND(M28,0)=8,0.005,IF(ROUND(M28,0)=9,0.004,IF(ROUND(M28,0)&gt;=10,0.003,))))))))))</f>
        <v>1.2E-2</v>
      </c>
      <c r="R35" s="52">
        <f>IF(M28&lt;=1,0.087,IF(ROUND(M28,0)=2,0.085,IF(ROUND(M28,0)=3,0.059,IF(ROUND(M28,0)=4,0.032,IF(ROUND(M28,0)=5,0.02,IF(ROUND(M28,0)=6,0.013,IF(ROUND(M28,0)=7,0.009,IF(ROUND(M28,0)=8,0.007,IF(ROUND(M28,0)=9,0.005,IF(ROUND(M28,0)&gt;=10,0.004,))))))))))</f>
        <v>0.02</v>
      </c>
      <c r="S35" s="52">
        <f>IF(M28&lt;=1,0.082,IF(ROUND(M28,0)=2,0.082,IF(ROUND(M28,0)=3,0.075,IF(ROUND(M28,0)=4,0.052,IF(ROUND(M28,0)=5,0.029,IF(ROUND(M28,0)=6,0.02,IF(ROUND(M28,0)=7,0.013,IF(ROUND(M28,0)=8,0.01,IF(ROUND(M28,0)=9,0.008,IF(ROUND(M28,0)&gt;=10,0.006,))))))))))</f>
        <v>2.9000000000000001E-2</v>
      </c>
      <c r="T35" s="52">
        <f>IF(M28&lt;=1,0.077,IF(ROUND(M28,0)=2,0.078,IF(ROUND(M28,0)=3,0.074,IF(ROUND(M28,0)=4,0.066,IF(ROUND(M28,0)=5,0.047,IF(ROUND(M28,0)=6,0.028,IF(ROUND(M28,0)=7,0.018,IF(ROUND(M28,0)=8,0.013,IF(ROUND(M28,0)=9,0.018,IF(ROUND(M28,0)&gt;=10,0.008,))))))))))</f>
        <v>4.7E-2</v>
      </c>
      <c r="U35" s="52">
        <f>IF(M28&lt;=1,0.074,IF(ROUND(M28,0)=2,0.075,IF(ROUND(M28,0)=3,0.07,IF(ROUND(M28,0)=4,0.067,IF(ROUND(M28,0)=5,0.058,IF(ROUND(M28,0)=6,0.043,IF(ROUND(M28,0)=7,0.025,IF(ROUND(M28,0)=8,0.018,IF(ROUND(M28,0)=9,0.013,IF(ROUND(M28,0)&gt;=10,0.009,))))))))))</f>
        <v>5.8000000000000003E-2</v>
      </c>
      <c r="V35" s="50"/>
      <c r="W35" s="50"/>
    </row>
    <row r="36" spans="2:24" ht="21.95" customHeight="1" thickBot="1" x14ac:dyDescent="0.3">
      <c r="B36" s="32">
        <f>C26*C32*C33*C31*C30</f>
        <v>45.936000000000007</v>
      </c>
      <c r="C36" s="33" t="s">
        <v>5</v>
      </c>
      <c r="D36" s="34">
        <f>(C28+C29+C10)*0.9+(C21*C24)/1.1</f>
        <v>33.469090909090909</v>
      </c>
      <c r="E36" s="35" t="s">
        <v>5</v>
      </c>
      <c r="F36" s="57" t="str">
        <f>IF(B36&gt;D36,"НЕ ДОСТАТОЧНО","ДОСТАТОЧНО")</f>
        <v>НЕ ДОСТАТОЧНО</v>
      </c>
      <c r="G36" s="58"/>
      <c r="H36" s="59" t="s">
        <v>43</v>
      </c>
      <c r="I36" s="60"/>
      <c r="J36" s="60"/>
      <c r="K36" s="60"/>
      <c r="L36" s="60"/>
      <c r="M36" s="60"/>
      <c r="O36" s="52">
        <f>IF(M29&lt;=1,0.029,IF(ROUND(M29,0)=2,0.015,IF(ROUND(M29,0)=3,0.007,IF(ROUND(M29,0)=4,0.004,IF(ROUND(M29,0)=5,0.003,IF(ROUND(M29,0)=6,0.002,IF(ROUND(M29,0)=7,0.002,IF(ROUND(M29,0)=8,0.001,IF(ROUND(M29,0)=9,0.001,IF(ROUND(M29,0)&gt;=10,0.001,))))))))))</f>
        <v>3.0000000000000001E-3</v>
      </c>
      <c r="P36" s="52">
        <f>IF(M29&lt;=1,0.058,IF(ROUND(M29,0)=2,0.031,IF(ROUND(M29,0)=3,0.015,IF(ROUND(M29,0)=4,0.008,IF(ROUND(M29,0)=5,0.006,IF(ROUND(M29,0)=6,0.002,IF(ROUND(M29,0)=7,0.003,IF(ROUND(M29,0)=8,0.002,IF(ROUND(M29,0)=9,0.002,IF(ROUND(M29,0)&gt;=10,0.001,))))))))))</f>
        <v>6.0000000000000001E-3</v>
      </c>
      <c r="Q36" s="52">
        <f>IF(M29&lt;=1,0.088,IF(ROUND(M29,0)=2,0.067,IF(ROUND(M29,0)=3,0.034,IF(ROUND(M29,0)=4,0.019,IF(ROUND(M29,0)=5,0.012,IF(ROUND(M29,0)=6,0.008,IF(ROUND(M29,0)=7,0.006,IF(ROUND(M29,0)=8,0.005,IF(ROUND(M29,0)=9,0.004,IF(ROUND(M29,0)&gt;=10,0.003,))))))))))</f>
        <v>1.2E-2</v>
      </c>
      <c r="R36" s="52">
        <f>IF(M29&lt;=1,0.087,IF(ROUND(M29,0)=2,0.085,IF(ROUND(M29,0)=3,0.059,IF(ROUND(M29,0)=4,0.032,IF(ROUND(M29,0)=5,0.02,IF(ROUND(M29,0)=6,0.013,IF(ROUND(M29,0)=7,0.009,IF(ROUND(M29,0)=8,0.007,IF(ROUND(M29,0)=9,0.005,IF(ROUND(M29,0)&gt;=10,0.004,))))))))))</f>
        <v>0.02</v>
      </c>
      <c r="S36" s="52">
        <f>IF(M29&lt;=1,0.082,IF(ROUND(M29,0)=2,0.082,IF(ROUND(M29,0)=3,0.075,IF(ROUND(M29,0)=4,0.052,IF(ROUND(M29,0)=5,0.029,IF(ROUND(M29,0)=6,0.02,IF(ROUND(M29,0)=7,0.013,IF(ROUND(M29,0)=8,0.01,IF(ROUND(M29,0)=9,0.008,IF(ROUND(M29,0)&gt;=10,0.006,))))))))))</f>
        <v>2.9000000000000001E-2</v>
      </c>
      <c r="T36" s="52">
        <f>IF(M29&lt;=1,0.077,IF(ROUND(M29,0)=2,0.078,IF(ROUND(M29,0)=3,0.074,IF(ROUND(M29,0)=4,0.066,IF(ROUND(M29,0)=5,0.047,IF(ROUND(M29,0)=6,0.028,IF(ROUND(M29,0)=7,0.018,IF(ROUND(M29,0)=8,0.013,IF(ROUND(M29,0)=9,0.018,IF(ROUND(M29,0)&gt;=10,0.008,))))))))))</f>
        <v>4.7E-2</v>
      </c>
      <c r="U36" s="52">
        <f>IF(M29&lt;=1,0.074,IF(ROUND(M29,0)=2,0.075,IF(ROUND(M29,0)=3,0.07,IF(ROUND(M29,0)=4,0.067,IF(ROUND(M29,0)=5,0.058,IF(ROUND(M29,0)=6,0.043,IF(ROUND(M29,0)=7,0.025,IF(ROUND(M29,0)=8,0.018,IF(ROUND(M29,0)=9,0.013,IF(ROUND(M29,0)&gt;=10,0.009,))))))))))</f>
        <v>5.8000000000000003E-2</v>
      </c>
      <c r="V36" s="50"/>
      <c r="W36" s="50"/>
    </row>
    <row r="37" spans="2:24" ht="21.95" customHeight="1" thickBot="1" x14ac:dyDescent="0.3">
      <c r="B37" s="32">
        <f>C25*C32*C33*C31*C30</f>
        <v>49.368000000000009</v>
      </c>
      <c r="C37" s="33" t="s">
        <v>5</v>
      </c>
      <c r="D37" s="34">
        <f>(C28+C29+C10)*0.9+((C15+C16)*2*(C14-C23)*C24)/1.1</f>
        <v>33.469090909090909</v>
      </c>
      <c r="E37" s="35" t="s">
        <v>5</v>
      </c>
      <c r="F37" s="57" t="str">
        <f>IF(B37&gt;D37,"НЕ ДОСТАТОЧНО","ДОСТАТОЧНО")</f>
        <v>НЕ ДОСТАТОЧНО</v>
      </c>
      <c r="G37" s="58"/>
      <c r="H37" s="59" t="s">
        <v>105</v>
      </c>
      <c r="I37" s="60"/>
      <c r="J37" s="60"/>
      <c r="K37" s="60"/>
      <c r="L37" s="60"/>
      <c r="M37" s="60"/>
    </row>
    <row r="38" spans="2:24" ht="21.95" customHeight="1" thickBot="1" x14ac:dyDescent="0.3">
      <c r="B38" s="32">
        <f>C27*C32*C33*C31*H30*1.1</f>
        <v>46.464000000000013</v>
      </c>
      <c r="C38" s="33" t="s">
        <v>5</v>
      </c>
      <c r="D38" s="34">
        <f>(C10+IF(C29&gt;0,2*C29,C21*C24)+C28)*0.9</f>
        <v>33.264000000000003</v>
      </c>
      <c r="E38" s="35" t="s">
        <v>5</v>
      </c>
      <c r="F38" s="57" t="str">
        <f>IF(B38&gt;D38,"НЕ ДОСТАТОЧНО","ДОСТАТОЧНО")</f>
        <v>НЕ ДОСТАТОЧНО</v>
      </c>
      <c r="G38" s="58"/>
      <c r="H38" s="59" t="s">
        <v>76</v>
      </c>
      <c r="I38" s="60"/>
      <c r="J38" s="60"/>
      <c r="K38" s="60"/>
      <c r="L38" s="60"/>
      <c r="M38" s="60"/>
      <c r="O38" s="38"/>
      <c r="W38" s="38"/>
      <c r="X38" s="38"/>
    </row>
    <row r="39" spans="2:24" ht="21.95" customHeight="1" thickBot="1" x14ac:dyDescent="0.3">
      <c r="B39" s="32">
        <f>C26*C32*C33*C31*C30*IF(C29&gt;0,M26,1)</f>
        <v>45.936000000000007</v>
      </c>
      <c r="C39" s="33" t="s">
        <v>5</v>
      </c>
      <c r="D39" s="34">
        <f>(C28+C29+C10)*0.9+((C15+C16)*2*(C14-C23)*C24)</f>
        <v>35.520000000000003</v>
      </c>
      <c r="E39" s="35" t="s">
        <v>5</v>
      </c>
      <c r="F39" s="57" t="str">
        <f>IF(B39&gt;D39,"НЕ ДОСТАТОЧНО","ДОСТАТОЧНО")</f>
        <v>НЕ ДОСТАТОЧНО</v>
      </c>
      <c r="G39" s="58"/>
      <c r="H39" s="59" t="s">
        <v>78</v>
      </c>
      <c r="I39" s="60"/>
      <c r="J39" s="60"/>
      <c r="K39" s="60"/>
      <c r="L39" s="60"/>
      <c r="M39" s="60"/>
      <c r="O39" s="38"/>
      <c r="W39" s="38"/>
      <c r="X39" s="38"/>
    </row>
    <row r="40" spans="2:24" ht="15.95" customHeight="1" x14ac:dyDescent="0.25">
      <c r="B40" s="13" t="s">
        <v>38</v>
      </c>
    </row>
    <row r="41" spans="2:24" ht="15.95" customHeight="1" x14ac:dyDescent="0.25">
      <c r="B41" s="13" t="s">
        <v>42</v>
      </c>
    </row>
  </sheetData>
  <mergeCells count="16">
    <mergeCell ref="F39:G39"/>
    <mergeCell ref="H39:M39"/>
    <mergeCell ref="H37:M37"/>
    <mergeCell ref="F37:G37"/>
    <mergeCell ref="F38:G38"/>
    <mergeCell ref="H38:M38"/>
    <mergeCell ref="F36:G36"/>
    <mergeCell ref="H36:M36"/>
    <mergeCell ref="B1:M1"/>
    <mergeCell ref="D35:E35"/>
    <mergeCell ref="B35:C35"/>
    <mergeCell ref="B2:M2"/>
    <mergeCell ref="B20:M20"/>
    <mergeCell ref="B13:M13"/>
    <mergeCell ref="F35:G35"/>
    <mergeCell ref="B34:M34"/>
  </mergeCells>
  <conditionalFormatting sqref="C21">
    <cfRule type="containsText" dxfId="10" priority="11" operator="containsText" text="Лоб. пуч.">
      <formula>NOT(ISERROR(SEARCH("Лоб. пуч.",C21)))</formula>
    </cfRule>
  </conditionalFormatting>
  <conditionalFormatting sqref="F36:G36">
    <cfRule type="cellIs" dxfId="9" priority="9" operator="equal">
      <formula>"ДОСТАТОЧНО"</formula>
    </cfRule>
    <cfRule type="containsText" dxfId="8" priority="10" operator="containsText" text="НЕ">
      <formula>NOT(ISERROR(SEARCH("НЕ",F36)))</formula>
    </cfRule>
  </conditionalFormatting>
  <conditionalFormatting sqref="C12">
    <cfRule type="expression" dxfId="7" priority="8">
      <formula>$I$8=5</formula>
    </cfRule>
  </conditionalFormatting>
  <conditionalFormatting sqref="F37:G37">
    <cfRule type="cellIs" dxfId="6" priority="6" operator="equal">
      <formula>"ДОСТАТОЧНО"</formula>
    </cfRule>
    <cfRule type="containsText" dxfId="5" priority="7" operator="containsText" text="НЕ">
      <formula>NOT(ISERROR(SEARCH("НЕ",F37)))</formula>
    </cfRule>
  </conditionalFormatting>
  <conditionalFormatting sqref="F38:G38">
    <cfRule type="cellIs" dxfId="4" priority="4" operator="equal">
      <formula>"ДОСТАТОЧНО"</formula>
    </cfRule>
    <cfRule type="containsText" dxfId="3" priority="5" operator="containsText" text="НЕ">
      <formula>NOT(ISERROR(SEARCH("НЕ",F38)))</formula>
    </cfRule>
  </conditionalFormatting>
  <conditionalFormatting sqref="F39:G39">
    <cfRule type="cellIs" dxfId="2" priority="2" operator="equal">
      <formula>"ДОСТАТОЧНО"</formula>
    </cfRule>
    <cfRule type="containsText" dxfId="1" priority="3" operator="containsText" text="НЕ">
      <formula>NOT(ISERROR(SEARCH("НЕ",F39)))</formula>
    </cfRule>
  </conditionalFormatting>
  <conditionalFormatting sqref="C29">
    <cfRule type="containsText" dxfId="0" priority="1" operator="containsText" text="не верн. разм.">
      <formula>NOT(ISERROR(SEARCH("не верн. разм.",C29)))</formula>
    </cfRule>
  </conditionalFormatting>
  <pageMargins left="0.7" right="0.7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 sizeWithCells="1">
                  <from>
                    <xdr:col>0</xdr:col>
                    <xdr:colOff>238125</xdr:colOff>
                    <xdr:row>1</xdr:row>
                    <xdr:rowOff>190500</xdr:rowOff>
                  </from>
                  <to>
                    <xdr:col>8</xdr:col>
                    <xdr:colOff>495300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Line="0" autoPict="0">
                <anchor moveWithCells="1" siz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8</xdr:col>
                    <xdr:colOff>495300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Drop Down 5">
              <controlPr defaultSize="0" autoLine="0" autoPict="0">
                <anchor moveWithCells="1" sizeWithCells="1">
                  <from>
                    <xdr:col>1</xdr:col>
                    <xdr:colOff>0</xdr:colOff>
                    <xdr:row>5</xdr:row>
                    <xdr:rowOff>0</xdr:rowOff>
                  </from>
                  <to>
                    <xdr:col>8</xdr:col>
                    <xdr:colOff>495300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Drop Down 6">
              <controlPr defaultSize="0" autoLine="0" autoPict="0">
                <anchor moveWithCells="1" sizeWithCells="1">
                  <from>
                    <xdr:col>1</xdr:col>
                    <xdr:colOff>0</xdr:colOff>
                    <xdr:row>6</xdr:row>
                    <xdr:rowOff>0</xdr:rowOff>
                  </from>
                  <to>
                    <xdr:col>8</xdr:col>
                    <xdr:colOff>495300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Drop Down 7">
              <controlPr defaultSize="0" autoLine="0" autoPict="0">
                <anchor moveWithCells="1" sizeWithCells="1">
                  <from>
                    <xdr:col>1</xdr:col>
                    <xdr:colOff>0</xdr:colOff>
                    <xdr:row>2</xdr:row>
                    <xdr:rowOff>200025</xdr:rowOff>
                  </from>
                  <to>
                    <xdr:col>8</xdr:col>
                    <xdr:colOff>495300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Drop Down 8">
              <controlPr defaultSize="0" autoLine="0" autoPict="0">
                <anchor moveWithCells="1" sizeWithCells="1">
                  <from>
                    <xdr:col>1</xdr:col>
                    <xdr:colOff>0</xdr:colOff>
                    <xdr:row>7</xdr:row>
                    <xdr:rowOff>9525</xdr:rowOff>
                  </from>
                  <to>
                    <xdr:col>8</xdr:col>
                    <xdr:colOff>495300</xdr:colOff>
                    <xdr:row>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"/>
  <sheetViews>
    <sheetView workbookViewId="0">
      <selection activeCell="R31" sqref="R31"/>
    </sheetView>
  </sheetViews>
  <sheetFormatPr defaultRowHeight="15" x14ac:dyDescent="0.25"/>
  <sheetData>
    <row r="2" spans="2:19" x14ac:dyDescent="0.25">
      <c r="B2" t="s">
        <v>80</v>
      </c>
      <c r="J2" s="72" t="s">
        <v>103</v>
      </c>
      <c r="K2" s="72"/>
      <c r="L2" s="72"/>
      <c r="M2" s="72"/>
      <c r="N2" s="72"/>
      <c r="O2" s="72"/>
      <c r="P2" s="72"/>
      <c r="S2" t="s">
        <v>102</v>
      </c>
    </row>
    <row r="3" spans="2:19" x14ac:dyDescent="0.25">
      <c r="J3" s="72"/>
      <c r="K3" s="72"/>
      <c r="L3" s="72"/>
      <c r="M3" s="72"/>
      <c r="N3" s="72"/>
      <c r="O3" s="72"/>
      <c r="P3" s="72"/>
    </row>
  </sheetData>
  <mergeCells count="1">
    <mergeCell ref="J2:P3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КАСАТЕЛЬН ПУЧЕНИЕ</vt:lpstr>
      <vt:lpstr>Таблицы</vt:lpstr>
    </vt:vector>
  </TitlesOfParts>
  <Company>СибНИИЭ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Korzhenevskiy</dc:creator>
  <cp:lastModifiedBy>Корженевский Виталий Юрьевич</cp:lastModifiedBy>
  <cp:lastPrinted>2010-10-12T01:45:17Z</cp:lastPrinted>
  <dcterms:created xsi:type="dcterms:W3CDTF">2010-10-05T06:11:59Z</dcterms:created>
  <dcterms:modified xsi:type="dcterms:W3CDTF">2019-03-31T06:48:29Z</dcterms:modified>
</cp:coreProperties>
</file>