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YandexDisk\Сайт\Расчеты и шаблоны\Ветер на решетчатую опору\"/>
    </mc:Choice>
  </mc:AlternateContent>
  <bookViews>
    <workbookView xWindow="0" yWindow="0" windowWidth="28800" windowHeight="12450"/>
  </bookViews>
  <sheets>
    <sheet name="СП 20.13330.2016" sheetId="2" r:id="rId1"/>
    <sheet name="ПУЭ Изд 7" sheetId="4" r:id="rId2"/>
  </sheets>
  <definedNames>
    <definedName name="_xlnm.Print_Area" localSheetId="1">'ПУЭ Изд 7'!#REF!</definedName>
    <definedName name="_xlnm.Print_Area" localSheetId="0">'СП 20.13330.2016'!$A$2:$N$26</definedName>
  </definedNames>
  <calcPr calcId="152511"/>
</workbook>
</file>

<file path=xl/calcChain.xml><?xml version="1.0" encoding="utf-8"?>
<calcChain xmlns="http://schemas.openxmlformats.org/spreadsheetml/2006/main">
  <c r="G19" i="2" l="1"/>
  <c r="G18" i="2"/>
  <c r="R11" i="2"/>
  <c r="R13" i="2"/>
  <c r="R14" i="2"/>
  <c r="R15" i="2"/>
  <c r="R16" i="2"/>
  <c r="R17" i="2"/>
  <c r="R18" i="2"/>
  <c r="Q11" i="2"/>
  <c r="Q13" i="2"/>
  <c r="Q14" i="2"/>
  <c r="Q15" i="2"/>
  <c r="Q16" i="2"/>
  <c r="Q17" i="2"/>
  <c r="Q18" i="2"/>
  <c r="H19" i="4"/>
  <c r="J18" i="4"/>
  <c r="K18" i="4" s="1"/>
  <c r="F18" i="4"/>
  <c r="G18" i="4" s="1"/>
  <c r="J17" i="4"/>
  <c r="L17" i="4" s="1"/>
  <c r="F17" i="4"/>
  <c r="G17" i="4" s="1"/>
  <c r="J16" i="4"/>
  <c r="L16" i="4" s="1"/>
  <c r="F16" i="4"/>
  <c r="G16" i="4" s="1"/>
  <c r="K15" i="4"/>
  <c r="J15" i="4"/>
  <c r="L15" i="4" s="1"/>
  <c r="F15" i="4"/>
  <c r="G15" i="4" s="1"/>
  <c r="L14" i="4"/>
  <c r="K14" i="4"/>
  <c r="M14" i="4" s="1"/>
  <c r="J14" i="4"/>
  <c r="F14" i="4"/>
  <c r="G14" i="4" s="1"/>
  <c r="L13" i="4"/>
  <c r="J13" i="4"/>
  <c r="K13" i="4" s="1"/>
  <c r="M13" i="4" s="1"/>
  <c r="F13" i="4"/>
  <c r="G13" i="4" s="1"/>
  <c r="J12" i="4"/>
  <c r="L12" i="4" s="1"/>
  <c r="F12" i="4"/>
  <c r="G12" i="4" s="1"/>
  <c r="K11" i="4"/>
  <c r="J11" i="4"/>
  <c r="L11" i="4" s="1"/>
  <c r="F11" i="4"/>
  <c r="G11" i="4" s="1"/>
  <c r="L10" i="4"/>
  <c r="K10" i="4"/>
  <c r="J10" i="4"/>
  <c r="F10" i="4"/>
  <c r="G10" i="4" s="1"/>
  <c r="N13" i="4" l="1"/>
  <c r="K17" i="4"/>
  <c r="M17" i="4" s="1"/>
  <c r="M10" i="4"/>
  <c r="N10" i="4" s="1"/>
  <c r="L18" i="4"/>
  <c r="M18" i="4" s="1"/>
  <c r="N18" i="4" s="1"/>
  <c r="N17" i="4"/>
  <c r="M11" i="4"/>
  <c r="N11" i="4" s="1"/>
  <c r="P13" i="4"/>
  <c r="O13" i="4"/>
  <c r="M15" i="4"/>
  <c r="N15" i="4" s="1"/>
  <c r="N14" i="4"/>
  <c r="P17" i="4"/>
  <c r="O17" i="4"/>
  <c r="K12" i="4"/>
  <c r="M12" i="4" s="1"/>
  <c r="N12" i="4" s="1"/>
  <c r="K16" i="4"/>
  <c r="M16" i="4" s="1"/>
  <c r="N16" i="4" s="1"/>
  <c r="O18" i="4" l="1"/>
  <c r="P18" i="4"/>
  <c r="O14" i="4"/>
  <c r="P14" i="4"/>
  <c r="P12" i="4"/>
  <c r="O12" i="4"/>
  <c r="O10" i="4"/>
  <c r="P10" i="4"/>
  <c r="N22" i="4"/>
  <c r="N24" i="4"/>
  <c r="P16" i="4"/>
  <c r="O16" i="4"/>
  <c r="P15" i="4"/>
  <c r="O15" i="4"/>
  <c r="P11" i="4"/>
  <c r="O11" i="4"/>
  <c r="P24" i="4" l="1"/>
  <c r="P22" i="4"/>
  <c r="O22" i="4"/>
  <c r="O24" i="4"/>
  <c r="J19" i="2" l="1"/>
  <c r="L19" i="2" s="1"/>
  <c r="F19" i="2"/>
  <c r="J18" i="2"/>
  <c r="K18" i="2" s="1"/>
  <c r="F18" i="2"/>
  <c r="F11" i="2"/>
  <c r="F12" i="2"/>
  <c r="F13" i="2"/>
  <c r="F14" i="2"/>
  <c r="F15" i="2"/>
  <c r="F16" i="2"/>
  <c r="F17" i="2"/>
  <c r="F20" i="2"/>
  <c r="F10" i="2"/>
  <c r="H21" i="2"/>
  <c r="J14" i="2"/>
  <c r="K14" i="2" s="1"/>
  <c r="J15" i="2"/>
  <c r="K15" i="2" s="1"/>
  <c r="J16" i="2"/>
  <c r="K16" i="2" s="1"/>
  <c r="J17" i="2"/>
  <c r="K17" i="2" s="1"/>
  <c r="J11" i="2"/>
  <c r="K11" i="2" s="1"/>
  <c r="J12" i="2"/>
  <c r="K12" i="2" s="1"/>
  <c r="J13" i="2"/>
  <c r="K13" i="2" s="1"/>
  <c r="J20" i="2"/>
  <c r="K20" i="2" s="1"/>
  <c r="J10" i="2"/>
  <c r="L10" i="2" s="1"/>
  <c r="G13" i="2" l="1"/>
  <c r="G20" i="2"/>
  <c r="G14" i="2"/>
  <c r="G17" i="2"/>
  <c r="G16" i="2"/>
  <c r="G15" i="2"/>
  <c r="G11" i="2"/>
  <c r="G12" i="2"/>
  <c r="L18" i="2"/>
  <c r="M18" i="2" s="1"/>
  <c r="K19" i="2"/>
  <c r="M19" i="2" s="1"/>
  <c r="K10" i="2"/>
  <c r="M10" i="2" s="1"/>
  <c r="G10" i="2"/>
  <c r="L20" i="2"/>
  <c r="M20" i="2" s="1"/>
  <c r="L16" i="2"/>
  <c r="M16" i="2" s="1"/>
  <c r="L14" i="2"/>
  <c r="M14" i="2" s="1"/>
  <c r="L12" i="2"/>
  <c r="M12" i="2" s="1"/>
  <c r="L17" i="2"/>
  <c r="M17" i="2" s="1"/>
  <c r="L15" i="2"/>
  <c r="M15" i="2" s="1"/>
  <c r="L13" i="2"/>
  <c r="M13" i="2" s="1"/>
  <c r="L11" i="2"/>
  <c r="M11" i="2" s="1"/>
  <c r="N10" i="2" l="1"/>
  <c r="N11" i="2"/>
  <c r="O11" i="2" s="1"/>
  <c r="P11" i="2" s="1"/>
  <c r="N16" i="2"/>
  <c r="O16" i="2" s="1"/>
  <c r="P16" i="2" s="1"/>
  <c r="N15" i="2"/>
  <c r="O15" i="2" s="1"/>
  <c r="P15" i="2" s="1"/>
  <c r="N17" i="2"/>
  <c r="N14" i="2"/>
  <c r="N20" i="2"/>
  <c r="O20" i="2" s="1"/>
  <c r="P20" i="2" s="1"/>
  <c r="N19" i="2"/>
  <c r="O19" i="2" s="1"/>
  <c r="P19" i="2" s="1"/>
  <c r="N13" i="2"/>
  <c r="O13" i="2" s="1"/>
  <c r="P13" i="2" s="1"/>
  <c r="N18" i="2"/>
  <c r="O18" i="2" s="1"/>
  <c r="P18" i="2" s="1"/>
  <c r="N12" i="2"/>
  <c r="R20" i="2" l="1"/>
  <c r="Q20" i="2"/>
  <c r="Q19" i="2"/>
  <c r="R19" i="2"/>
  <c r="O10" i="2"/>
  <c r="P10" i="2" s="1"/>
  <c r="O12" i="2"/>
  <c r="P12" i="2" s="1"/>
  <c r="O17" i="2"/>
  <c r="P17" i="2" s="1"/>
  <c r="O14" i="2"/>
  <c r="P14" i="2" s="1"/>
  <c r="R12" i="2" l="1"/>
  <c r="Q12" i="2"/>
  <c r="Q10" i="2"/>
  <c r="R10" i="2"/>
  <c r="R26" i="2" s="1"/>
  <c r="P24" i="2"/>
  <c r="P26" i="2"/>
  <c r="R24" i="2"/>
  <c r="Q24" i="2"/>
  <c r="Q26" i="2" l="1"/>
</calcChain>
</file>

<file path=xl/sharedStrings.xml><?xml version="1.0" encoding="utf-8"?>
<sst xmlns="http://schemas.openxmlformats.org/spreadsheetml/2006/main" count="111" uniqueCount="71">
  <si>
    <t>Тип опоры:</t>
  </si>
  <si>
    <t>1а</t>
  </si>
  <si>
    <t>2а</t>
  </si>
  <si>
    <t>по серии:</t>
  </si>
  <si>
    <t>Наименование секции</t>
  </si>
  <si>
    <t>Эскиз и средняя отметка секции</t>
  </si>
  <si>
    <t>Отметка</t>
  </si>
  <si>
    <t>Площадь элементов фермы   ΣАi</t>
  </si>
  <si>
    <t xml:space="preserve">Расчетная ветровая нагрузка </t>
  </si>
  <si>
    <t>при ветре под углом 45°</t>
  </si>
  <si>
    <r>
      <t>W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>=</t>
    </r>
  </si>
  <si>
    <t xml:space="preserve">Коэф-ент увеличения ветрового давления по высоте Кw </t>
  </si>
  <si>
    <t>η, при: для траверс  b/h=1; для секций b/h=1</t>
  </si>
  <si>
    <r>
      <t>Площадь проекции ограничен
контуром конструкц.
Ак,  (м</t>
    </r>
    <r>
      <rPr>
        <vertAlign val="superscript"/>
        <sz val="9"/>
        <rFont val="Arial Cyr"/>
        <family val="2"/>
        <charset val="204"/>
      </rPr>
      <t>2</t>
    </r>
    <r>
      <rPr>
        <sz val="9"/>
        <rFont val="Arial Cyr"/>
        <charset val="204"/>
      </rPr>
      <t>)</t>
    </r>
  </si>
  <si>
    <t>Норматив.
ветровое давление с учетом Кw
 W*Кw
  (кПа)</t>
  </si>
  <si>
    <r>
      <t>Q</t>
    </r>
    <r>
      <rPr>
        <vertAlign val="subscript"/>
        <sz val="9"/>
        <rFont val="Symbol"/>
        <family val="1"/>
        <charset val="2"/>
      </rPr>
      <t>^</t>
    </r>
    <r>
      <rPr>
        <vertAlign val="superscript"/>
        <sz val="9"/>
        <rFont val="Arial"/>
        <family val="2"/>
        <charset val="204"/>
      </rPr>
      <t>р</t>
    </r>
    <r>
      <rPr>
        <sz val="9"/>
        <rFont val="Arial"/>
        <family val="2"/>
        <charset val="204"/>
      </rPr>
      <t>=Q</t>
    </r>
    <r>
      <rPr>
        <vertAlign val="subscript"/>
        <sz val="9"/>
        <rFont val="Symbol"/>
        <family val="1"/>
        <charset val="2"/>
      </rPr>
      <t>^</t>
    </r>
    <r>
      <rPr>
        <sz val="9"/>
        <rFont val="Arial"/>
        <family val="2"/>
        <charset val="204"/>
      </rPr>
      <t>*Y</t>
    </r>
    <r>
      <rPr>
        <vertAlign val="subscript"/>
        <sz val="9"/>
        <rFont val="Arial"/>
        <family val="2"/>
        <charset val="204"/>
      </rPr>
      <t>nw</t>
    </r>
    <r>
      <rPr>
        <sz val="9"/>
        <rFont val="Arial"/>
        <family val="2"/>
        <charset val="204"/>
      </rPr>
      <t>*Y</t>
    </r>
    <r>
      <rPr>
        <vertAlign val="subscript"/>
        <sz val="9"/>
        <rFont val="Arial"/>
        <family val="2"/>
        <charset val="204"/>
      </rPr>
      <t>f</t>
    </r>
    <r>
      <rPr>
        <sz val="9"/>
        <rFont val="Arial"/>
        <family val="2"/>
        <charset val="204"/>
      </rPr>
      <t>*Y</t>
    </r>
    <r>
      <rPr>
        <vertAlign val="subscript"/>
        <sz val="9"/>
        <rFont val="Arial"/>
        <family val="2"/>
        <charset val="204"/>
      </rPr>
      <t>p</t>
    </r>
  </si>
  <si>
    <t>* 1.4 - для прокатных профилей</t>
  </si>
  <si>
    <r>
      <t xml:space="preserve">При ветре
</t>
    </r>
    <r>
      <rPr>
        <sz val="9"/>
        <rFont val="Symbol"/>
        <family val="1"/>
        <charset val="2"/>
      </rPr>
      <t>^</t>
    </r>
    <r>
      <rPr>
        <sz val="9"/>
        <rFont val="Arial Cyr"/>
        <charset val="204"/>
      </rPr>
      <t xml:space="preserve"> оси ВЛ
Q</t>
    </r>
    <r>
      <rPr>
        <vertAlign val="subscript"/>
        <sz val="9"/>
        <rFont val="Arial Cyr"/>
        <family val="2"/>
        <charset val="204"/>
      </rPr>
      <t>р=</t>
    </r>
    <r>
      <rPr>
        <sz val="9"/>
        <rFont val="Arial Cyr"/>
        <charset val="204"/>
      </rPr>
      <t>Q</t>
    </r>
    <r>
      <rPr>
        <vertAlign val="subscript"/>
        <sz val="9"/>
        <rFont val="Arial Cyr"/>
        <charset val="204"/>
      </rPr>
      <t>н</t>
    </r>
    <r>
      <rPr>
        <sz val="9"/>
        <rFont val="Arial Cyr"/>
        <charset val="204"/>
      </rPr>
      <t>*Y</t>
    </r>
    <r>
      <rPr>
        <vertAlign val="subscript"/>
        <sz val="9"/>
        <rFont val="Arial Cyr"/>
        <charset val="204"/>
      </rPr>
      <t>nw</t>
    </r>
    <r>
      <rPr>
        <sz val="9"/>
        <rFont val="Arial Cyr"/>
        <charset val="204"/>
      </rPr>
      <t>*Y</t>
    </r>
    <r>
      <rPr>
        <vertAlign val="subscript"/>
        <sz val="9"/>
        <rFont val="Arial Cyr"/>
        <charset val="204"/>
      </rPr>
      <t>f</t>
    </r>
    <r>
      <rPr>
        <sz val="9"/>
        <rFont val="Arial Cyr"/>
        <charset val="204"/>
      </rPr>
      <t>*Y</t>
    </r>
    <r>
      <rPr>
        <vertAlign val="subscript"/>
        <sz val="9"/>
        <rFont val="Arial Cyr"/>
        <charset val="204"/>
      </rPr>
      <t>p</t>
    </r>
  </si>
  <si>
    <r>
      <t>Q</t>
    </r>
    <r>
      <rPr>
        <vertAlign val="subscript"/>
        <sz val="9"/>
        <rFont val="Calibri"/>
        <family val="2"/>
        <charset val="204"/>
        <scheme val="minor"/>
      </rPr>
      <t>II</t>
    </r>
    <r>
      <rPr>
        <vertAlign val="superscript"/>
        <sz val="9"/>
        <rFont val="Arial"/>
        <family val="2"/>
        <charset val="204"/>
      </rPr>
      <t>р</t>
    </r>
    <r>
      <rPr>
        <sz val="9"/>
        <rFont val="Arial"/>
        <family val="2"/>
        <charset val="204"/>
      </rPr>
      <t>=Q</t>
    </r>
    <r>
      <rPr>
        <vertAlign val="subscript"/>
        <sz val="9"/>
        <rFont val="Calibri"/>
        <family val="2"/>
        <charset val="204"/>
        <scheme val="minor"/>
      </rPr>
      <t>II</t>
    </r>
    <r>
      <rPr>
        <sz val="9"/>
        <rFont val="Arial"/>
        <family val="2"/>
        <charset val="204"/>
      </rPr>
      <t>*Y</t>
    </r>
    <r>
      <rPr>
        <vertAlign val="subscript"/>
        <sz val="9"/>
        <rFont val="Arial"/>
        <family val="2"/>
        <charset val="204"/>
      </rPr>
      <t>nw</t>
    </r>
    <r>
      <rPr>
        <sz val="9"/>
        <rFont val="Arial"/>
        <family val="2"/>
        <charset val="204"/>
      </rPr>
      <t>*Y</t>
    </r>
    <r>
      <rPr>
        <vertAlign val="subscript"/>
        <sz val="9"/>
        <rFont val="Arial"/>
        <family val="2"/>
        <charset val="204"/>
      </rPr>
      <t>f</t>
    </r>
    <r>
      <rPr>
        <sz val="9"/>
        <rFont val="Arial"/>
        <family val="2"/>
        <charset val="204"/>
      </rPr>
      <t>*Y</t>
    </r>
    <r>
      <rPr>
        <vertAlign val="subscript"/>
        <sz val="9"/>
        <rFont val="Arial"/>
        <family val="2"/>
        <charset val="204"/>
      </rPr>
      <t>p</t>
    </r>
  </si>
  <si>
    <t>Количесво эл-в</t>
  </si>
  <si>
    <t>Аэродинамический коэфф-ент плоской фермы Сх=1,4*φ</t>
  </si>
  <si>
    <t>Аэрод-кий коэфф-ент пространственной фермы  Сt=Сx(1+η)</t>
  </si>
  <si>
    <r>
      <t>для секций: Q</t>
    </r>
    <r>
      <rPr>
        <vertAlign val="subscript"/>
        <sz val="9"/>
        <rFont val="Calibri"/>
        <family val="2"/>
        <charset val="204"/>
        <scheme val="minor"/>
      </rPr>
      <t>II</t>
    </r>
    <r>
      <rPr>
        <sz val="9"/>
        <rFont val="Arial"/>
        <family val="2"/>
      </rPr>
      <t>=sin45*1.2*Q</t>
    </r>
    <r>
      <rPr>
        <vertAlign val="subscript"/>
        <sz val="9"/>
        <rFont val="Arial"/>
        <family val="2"/>
      </rPr>
      <t>н</t>
    </r>
    <r>
      <rPr>
        <sz val="9"/>
        <rFont val="Arial"/>
        <family val="2"/>
      </rPr>
      <t xml:space="preserve"> для траверс: Q</t>
    </r>
    <r>
      <rPr>
        <vertAlign val="subscript"/>
        <sz val="9"/>
        <rFont val="Arial"/>
        <family val="2"/>
        <charset val="204"/>
      </rPr>
      <t>тр</t>
    </r>
    <r>
      <rPr>
        <sz val="9"/>
        <rFont val="Arial"/>
        <family val="2"/>
      </rPr>
      <t>*0,65</t>
    </r>
  </si>
  <si>
    <r>
      <t>для секций:
Q</t>
    </r>
    <r>
      <rPr>
        <vertAlign val="subscript"/>
        <sz val="9"/>
        <rFont val="Symbol"/>
        <family val="1"/>
        <charset val="2"/>
      </rPr>
      <t>^</t>
    </r>
    <r>
      <rPr>
        <sz val="9"/>
        <rFont val="Arial Cyr"/>
        <charset val="204"/>
      </rPr>
      <t>=sin45*1.2*Q</t>
    </r>
    <r>
      <rPr>
        <vertAlign val="subscript"/>
        <sz val="9"/>
        <rFont val="Arial Cyr"/>
        <family val="2"/>
        <charset val="204"/>
      </rPr>
      <t>н</t>
    </r>
    <r>
      <rPr>
        <sz val="9"/>
        <rFont val="Arial Cyr"/>
        <charset val="204"/>
      </rPr>
      <t xml:space="preserve">
для траверс:
Q</t>
    </r>
    <r>
      <rPr>
        <vertAlign val="subscript"/>
        <sz val="9"/>
        <rFont val="Arial Cyr"/>
        <charset val="204"/>
      </rPr>
      <t>тр</t>
    </r>
    <r>
      <rPr>
        <sz val="9"/>
        <rFont val="Arial Cyr"/>
        <charset val="204"/>
      </rPr>
      <t>*0,3</t>
    </r>
  </si>
  <si>
    <r>
      <t>* 1.2 - коэфф k</t>
    </r>
    <r>
      <rPr>
        <vertAlign val="subscript"/>
        <sz val="8"/>
        <color theme="1"/>
        <rFont val="Calibri"/>
        <family val="2"/>
        <charset val="204"/>
        <scheme val="minor"/>
      </rPr>
      <t>1</t>
    </r>
    <r>
      <rPr>
        <sz val="8"/>
        <color theme="1"/>
        <rFont val="Calibri"/>
        <family val="2"/>
        <charset val="204"/>
        <scheme val="minor"/>
      </rPr>
      <t xml:space="preserve"> при ветре по диагонали сечения</t>
    </r>
  </si>
  <si>
    <t>Признак конструкции (1 для секций, 2 для траверс)</t>
  </si>
  <si>
    <t>Всего:</t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</si>
  <si>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х</t>
    </r>
    <r>
      <rPr>
        <vertAlign val="superscript"/>
        <sz val="11"/>
        <color theme="1"/>
        <rFont val="Calibri"/>
        <family val="2"/>
        <charset val="204"/>
        <scheme val="minor"/>
      </rPr>
      <t>н</t>
    </r>
    <r>
      <rPr>
        <sz val="11"/>
        <color theme="1"/>
        <rFont val="Calibri"/>
        <family val="2"/>
        <charset val="204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</si>
  <si>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х45</t>
    </r>
    <r>
      <rPr>
        <vertAlign val="superscript"/>
        <sz val="11"/>
        <color theme="1"/>
        <rFont val="Calibri"/>
        <family val="2"/>
        <charset val="204"/>
        <scheme val="minor"/>
      </rPr>
      <t>н</t>
    </r>
    <r>
      <rPr>
        <sz val="11"/>
        <color theme="1"/>
        <rFont val="Calibri"/>
        <family val="2"/>
        <charset val="204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</si>
  <si>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у45</t>
    </r>
    <r>
      <rPr>
        <vertAlign val="superscript"/>
        <sz val="11"/>
        <color theme="1"/>
        <rFont val="Calibri"/>
        <family val="2"/>
        <charset val="204"/>
        <scheme val="minor"/>
      </rPr>
      <t>н</t>
    </r>
    <r>
      <rPr>
        <sz val="11"/>
        <color theme="1"/>
        <rFont val="Calibri"/>
        <family val="2"/>
        <charset val="204"/>
        <scheme val="minor"/>
      </rPr>
      <t>=</t>
    </r>
  </si>
  <si>
    <r>
      <t>М</t>
    </r>
    <r>
      <rPr>
        <vertAlign val="subscript"/>
        <sz val="11"/>
        <color theme="1"/>
        <rFont val="Calibri"/>
        <family val="2"/>
        <charset val="204"/>
        <scheme val="minor"/>
      </rPr>
      <t>х</t>
    </r>
    <r>
      <rPr>
        <vertAlign val="superscript"/>
        <sz val="11"/>
        <color theme="1"/>
        <rFont val="Calibri"/>
        <family val="2"/>
        <charset val="204"/>
        <scheme val="minor"/>
      </rPr>
      <t>н</t>
    </r>
    <r>
      <rPr>
        <sz val="11"/>
        <color theme="1"/>
        <rFont val="Calibri"/>
        <family val="2"/>
        <charset val="204"/>
        <scheme val="minor"/>
      </rPr>
      <t>=</t>
    </r>
  </si>
  <si>
    <r>
      <t>М</t>
    </r>
    <r>
      <rPr>
        <vertAlign val="subscript"/>
        <sz val="11"/>
        <color theme="1"/>
        <rFont val="Calibri"/>
        <family val="2"/>
        <charset val="204"/>
        <scheme val="minor"/>
      </rPr>
      <t>х45</t>
    </r>
    <r>
      <rPr>
        <vertAlign val="superscript"/>
        <sz val="11"/>
        <color theme="1"/>
        <rFont val="Calibri"/>
        <family val="2"/>
        <charset val="204"/>
        <scheme val="minor"/>
      </rPr>
      <t>н</t>
    </r>
    <r>
      <rPr>
        <sz val="11"/>
        <color theme="1"/>
        <rFont val="Calibri"/>
        <family val="2"/>
        <charset val="204"/>
        <scheme val="minor"/>
      </rPr>
      <t>=</t>
    </r>
  </si>
  <si>
    <r>
      <t>М</t>
    </r>
    <r>
      <rPr>
        <vertAlign val="subscript"/>
        <sz val="11"/>
        <color theme="1"/>
        <rFont val="Calibri"/>
        <family val="2"/>
        <charset val="204"/>
        <scheme val="minor"/>
      </rPr>
      <t>у45</t>
    </r>
    <r>
      <rPr>
        <vertAlign val="superscript"/>
        <sz val="11"/>
        <color theme="1"/>
        <rFont val="Calibri"/>
        <family val="2"/>
        <charset val="204"/>
        <scheme val="minor"/>
      </rPr>
      <t>н</t>
    </r>
    <r>
      <rPr>
        <sz val="11"/>
        <color theme="1"/>
        <rFont val="Calibri"/>
        <family val="2"/>
        <charset val="204"/>
        <scheme val="minor"/>
      </rPr>
      <t>=</t>
    </r>
  </si>
  <si>
    <r>
      <t xml:space="preserve">Коэфф-ент заполне- ния  </t>
    </r>
    <r>
      <rPr>
        <b/>
        <sz val="9"/>
        <rFont val="Arial"/>
        <family val="2"/>
        <charset val="204"/>
      </rPr>
      <t>φ</t>
    </r>
    <r>
      <rPr>
        <sz val="9"/>
        <rFont val="Arial"/>
        <family val="2"/>
        <charset val="204"/>
      </rPr>
      <t xml:space="preserve"> ΣАi/Ак</t>
    </r>
  </si>
  <si>
    <t>А</t>
  </si>
  <si>
    <t>В</t>
  </si>
  <si>
    <t>С</t>
  </si>
  <si>
    <t>Местн-ть</t>
  </si>
  <si>
    <t>Портал ПС-500-Л1</t>
  </si>
  <si>
    <t>3.407.9-161</t>
  </si>
  <si>
    <t>Нижняя секция крайняя
 П-21</t>
  </si>
  <si>
    <t>(кПа) Нормативное ветровое давление (по СП)</t>
  </si>
  <si>
    <r>
      <t>Нижняя секция</t>
    </r>
    <r>
      <rPr>
        <b/>
        <sz val="10"/>
        <rFont val="Calibri"/>
        <family val="2"/>
        <charset val="204"/>
        <scheme val="minor"/>
      </rPr>
      <t xml:space="preserve"> средняя
 П-21А</t>
    </r>
  </si>
  <si>
    <t>Траверса П-1</t>
  </si>
  <si>
    <t>Тросостойка П-11</t>
  </si>
  <si>
    <t>Молниеотвод П-13</t>
  </si>
  <si>
    <t>Верхняя секция крайняя
 П-22</t>
  </si>
  <si>
    <r>
      <t xml:space="preserve">Верхняя секция </t>
    </r>
    <r>
      <rPr>
        <b/>
        <sz val="10"/>
        <rFont val="Calibri"/>
        <family val="2"/>
        <charset val="204"/>
        <scheme val="minor"/>
      </rPr>
      <t>средняя
 П-22А</t>
    </r>
  </si>
  <si>
    <t>норматив:</t>
  </si>
  <si>
    <t>СП 20.13330.2016</t>
  </si>
  <si>
    <t>У35-2</t>
  </si>
  <si>
    <t>Нормативная ветровая нагрузка</t>
  </si>
  <si>
    <r>
      <t xml:space="preserve">При ветре
</t>
    </r>
    <r>
      <rPr>
        <sz val="9"/>
        <rFont val="Symbol"/>
        <family val="1"/>
        <charset val="2"/>
      </rPr>
      <t>^</t>
    </r>
    <r>
      <rPr>
        <sz val="9"/>
        <rFont val="Arial Cyr"/>
        <charset val="204"/>
      </rPr>
      <t xml:space="preserve"> оси ВЛ
Q</t>
    </r>
    <r>
      <rPr>
        <vertAlign val="subscript"/>
        <sz val="9"/>
        <rFont val="Arial Cyr"/>
        <family val="2"/>
        <charset val="204"/>
      </rPr>
      <t>н</t>
    </r>
    <r>
      <rPr>
        <sz val="9"/>
        <rFont val="Arial Cyr"/>
        <charset val="204"/>
      </rPr>
      <t>=W*Kw*
*Cх*Ак*
*1,5</t>
    </r>
  </si>
  <si>
    <t>Верхняя траверса (У7)</t>
  </si>
  <si>
    <t>Средняя траверса (У6)</t>
  </si>
  <si>
    <t>Нижняя траверса (У7)</t>
  </si>
  <si>
    <t>Верхняя секция (У5)</t>
  </si>
  <si>
    <t>Нижняя секция (У4)</t>
  </si>
  <si>
    <t>* 1.5 - учет пульсационн. составляющей</t>
  </si>
  <si>
    <t>ПУЭ изд. 7</t>
  </si>
  <si>
    <t>(кПа) Нормативное ветровое давление (по ПУЭ)</t>
  </si>
  <si>
    <r>
      <t xml:space="preserve"> Нормативная </t>
    </r>
    <r>
      <rPr>
        <sz val="9"/>
        <rFont val="Arial Cyr"/>
        <charset val="204"/>
      </rPr>
      <t>ветровая нагрузка</t>
    </r>
  </si>
  <si>
    <t>Средняя</t>
  </si>
  <si>
    <t>Пульсац-ая</t>
  </si>
  <si>
    <r>
      <t xml:space="preserve">При ветре
</t>
    </r>
    <r>
      <rPr>
        <sz val="9"/>
        <rFont val="Arial"/>
        <family val="2"/>
        <charset val="204"/>
      </rPr>
      <t>┴</t>
    </r>
    <r>
      <rPr>
        <sz val="9"/>
        <rFont val="Arial"/>
        <family val="2"/>
      </rPr>
      <t xml:space="preserve"> оси ВЛ
Qm=W*Kw*
*Cх*Ак</t>
    </r>
  </si>
  <si>
    <t>Итого усилия в основании стойки (кН, кН*м):</t>
  </si>
  <si>
    <t>Пульсационная составляющая посчитана упрощенно по ф. 11.5  СП 20.13330. Для уточнения необходима частоста колебаний</t>
  </si>
  <si>
    <r>
      <t xml:space="preserve">Все нагрузки - </t>
    </r>
    <r>
      <rPr>
        <b/>
        <sz val="11"/>
        <color rgb="FFFF0000"/>
        <rFont val="Calibri"/>
        <charset val="204"/>
        <scheme val="minor"/>
      </rPr>
      <t>нормативные</t>
    </r>
    <r>
      <rPr>
        <sz val="11"/>
        <color rgb="FFFF0000"/>
        <rFont val="Calibri"/>
        <family val="2"/>
        <charset val="204"/>
        <scheme val="minor"/>
      </rPr>
      <t>, все усилия в кПа, кН, кН*м</t>
    </r>
  </si>
  <si>
    <t>Суммарная</t>
  </si>
  <si>
    <t>При ветре
┴ оси ВЛ Q=Qm+Qp</t>
  </si>
  <si>
    <r>
      <t>При ветре
┴ оси ВЛ
Qp=Qm*</t>
    </r>
    <r>
      <rPr>
        <sz val="9"/>
        <rFont val="Arial"/>
        <family val="2"/>
        <charset val="204"/>
      </rPr>
      <t>ζ(z)*ν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</si>
</sst>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0" tint="-0.3499862666707357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name val="Symbol"/>
      <family val="1"/>
      <charset val="2"/>
    </font>
    <font>
      <sz val="9"/>
      <name val="Arial"/>
      <family val="2"/>
    </font>
    <font>
      <sz val="9"/>
      <name val="Arial Cyr"/>
      <charset val="204"/>
    </font>
    <font>
      <vertAlign val="superscript"/>
      <sz val="9"/>
      <name val="Arial Cyr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vertAlign val="subscript"/>
      <sz val="9"/>
      <name val="Arial Cyr"/>
      <family val="2"/>
      <charset val="204"/>
    </font>
    <font>
      <vertAlign val="subscript"/>
      <sz val="9"/>
      <name val="Arial Cyr"/>
      <charset val="204"/>
    </font>
    <font>
      <vertAlign val="subscript"/>
      <sz val="9"/>
      <name val="Symbol"/>
      <family val="1"/>
      <charset val="2"/>
    </font>
    <font>
      <vertAlign val="subscript"/>
      <sz val="9"/>
      <name val="Arial"/>
      <family val="2"/>
    </font>
    <font>
      <vertAlign val="superscript"/>
      <sz val="9"/>
      <name val="Arial"/>
      <family val="2"/>
      <charset val="204"/>
    </font>
    <font>
      <vertAlign val="subscript"/>
      <sz val="9"/>
      <name val="Arial"/>
      <family val="2"/>
      <charset val="204"/>
    </font>
    <font>
      <vertAlign val="subscript"/>
      <sz val="9"/>
      <name val="Calibri"/>
      <family val="2"/>
      <charset val="204"/>
      <scheme val="minor"/>
    </font>
    <font>
      <vertAlign val="subscript"/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rgb="FFFF0000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9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14" fillId="0" borderId="2" xfId="1" applyFont="1" applyFill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27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5" fillId="0" borderId="22" xfId="1" applyFont="1" applyBorder="1" applyAlignment="1">
      <alignment horizontal="center"/>
    </xf>
    <xf numFmtId="0" fontId="15" fillId="0" borderId="23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/>
    </xf>
    <xf numFmtId="2" fontId="0" fillId="2" borderId="28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2" fontId="0" fillId="2" borderId="29" xfId="0" applyNumberForma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4" fillId="0" borderId="2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2" fontId="0" fillId="3" borderId="27" xfId="0" applyNumberFormat="1" applyFill="1" applyBorder="1" applyAlignment="1">
      <alignment horizontal="center" vertical="center"/>
    </xf>
    <xf numFmtId="2" fontId="1" fillId="3" borderId="27" xfId="0" applyNumberFormat="1" applyFon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33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textRotation="90" wrapText="1"/>
    </xf>
    <xf numFmtId="0" fontId="15" fillId="0" borderId="6" xfId="1" applyFont="1" applyBorder="1" applyAlignment="1">
      <alignment horizontal="center" vertical="center" textRotation="90" wrapText="1"/>
    </xf>
    <xf numFmtId="0" fontId="12" fillId="0" borderId="10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5" fillId="0" borderId="11" xfId="1" applyFont="1" applyBorder="1" applyAlignment="1">
      <alignment horizontal="center" vertical="center" textRotation="90" wrapText="1"/>
    </xf>
    <xf numFmtId="0" fontId="15" fillId="0" borderId="16" xfId="1" applyFont="1" applyBorder="1" applyAlignment="1">
      <alignment horizontal="center" vertical="center" textRotation="90" wrapText="1"/>
    </xf>
    <xf numFmtId="0" fontId="15" fillId="0" borderId="20" xfId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/>
    </xf>
    <xf numFmtId="0" fontId="27" fillId="0" borderId="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8" fillId="0" borderId="0" xfId="0" applyFont="1"/>
    <xf numFmtId="0" fontId="32" fillId="0" borderId="0" xfId="0" applyFont="1"/>
    <xf numFmtId="0" fontId="9" fillId="0" borderId="0" xfId="0" applyFont="1"/>
    <xf numFmtId="0" fontId="7" fillId="0" borderId="9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165" fontId="28" fillId="3" borderId="26" xfId="0" applyNumberFormat="1" applyFont="1" applyFill="1" applyBorder="1" applyAlignment="1">
      <alignment horizontal="center"/>
    </xf>
    <xf numFmtId="165" fontId="28" fillId="3" borderId="27" xfId="0" applyNumberFormat="1" applyFont="1" applyFill="1" applyBorder="1" applyAlignment="1">
      <alignment horizontal="center"/>
    </xf>
    <xf numFmtId="165" fontId="28" fillId="3" borderId="30" xfId="0" applyNumberFormat="1" applyFont="1" applyFill="1" applyBorder="1" applyAlignment="1">
      <alignment horizontal="center"/>
    </xf>
    <xf numFmtId="165" fontId="28" fillId="3" borderId="22" xfId="0" applyNumberFormat="1" applyFont="1" applyFill="1" applyBorder="1" applyAlignment="1">
      <alignment horizontal="center"/>
    </xf>
    <xf numFmtId="165" fontId="28" fillId="3" borderId="24" xfId="0" applyNumberFormat="1" applyFont="1" applyFill="1" applyBorder="1" applyAlignment="1">
      <alignment horizontal="center"/>
    </xf>
    <xf numFmtId="165" fontId="28" fillId="3" borderId="29" xfId="0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15" fillId="0" borderId="27" xfId="1" applyFont="1" applyFill="1" applyBorder="1" applyAlignment="1">
      <alignment horizontal="center" vertical="center" wrapText="1"/>
    </xf>
    <xf numFmtId="0" fontId="15" fillId="0" borderId="26" xfId="1" applyFont="1" applyBorder="1" applyAlignment="1">
      <alignment horizontal="center"/>
    </xf>
    <xf numFmtId="0" fontId="15" fillId="0" borderId="18" xfId="1" applyFont="1" applyBorder="1" applyAlignment="1">
      <alignment horizontal="center"/>
    </xf>
    <xf numFmtId="0" fontId="15" fillId="0" borderId="18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2" fontId="0" fillId="3" borderId="13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2" fontId="0" fillId="3" borderId="25" xfId="0" applyNumberForma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7" xfId="1" applyFont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2" fontId="34" fillId="3" borderId="9" xfId="0" applyNumberFormat="1" applyFont="1" applyFill="1" applyBorder="1" applyAlignment="1">
      <alignment horizontal="center" vertical="center"/>
    </xf>
    <xf numFmtId="2" fontId="34" fillId="3" borderId="6" xfId="0" applyNumberFormat="1" applyFont="1" applyFill="1" applyBorder="1" applyAlignment="1">
      <alignment horizontal="center" vertical="center"/>
    </xf>
    <xf numFmtId="2" fontId="34" fillId="3" borderId="26" xfId="0" applyNumberFormat="1" applyFont="1" applyFill="1" applyBorder="1" applyAlignment="1">
      <alignment horizontal="center" vertical="center"/>
    </xf>
    <xf numFmtId="2" fontId="34" fillId="3" borderId="22" xfId="0" applyNumberFormat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35" fillId="3" borderId="12" xfId="0" applyNumberFormat="1" applyFont="1" applyFill="1" applyBorder="1" applyAlignment="1">
      <alignment horizontal="center" vertical="center"/>
    </xf>
    <xf numFmtId="2" fontId="35" fillId="3" borderId="1" xfId="0" applyNumberFormat="1" applyFont="1" applyFill="1" applyBorder="1" applyAlignment="1">
      <alignment horizontal="center" vertical="center"/>
    </xf>
    <xf numFmtId="2" fontId="35" fillId="3" borderId="27" xfId="0" applyNumberFormat="1" applyFont="1" applyFill="1" applyBorder="1" applyAlignment="1">
      <alignment horizontal="center" vertical="center"/>
    </xf>
    <xf numFmtId="2" fontId="35" fillId="3" borderId="2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У110-2+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$J$5" fmlaRange="$N$2:$N$4" noThreeD="1" sel="1" val="0"/>
</file>

<file path=xl/ctrlProps/ctrlProp2.xml><?xml version="1.0" encoding="utf-8"?>
<formControlPr xmlns="http://schemas.microsoft.com/office/spreadsheetml/2009/9/main" objectType="Drop" dropLines="3" dropStyle="combo" dx="16" fmlaLink="$J$5" fmlaRange="$G$2:$G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0</xdr:rowOff>
        </xdr:from>
        <xdr:to>
          <xdr:col>8</xdr:col>
          <xdr:colOff>619125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9524</xdr:colOff>
          <xdr:row>3</xdr:row>
          <xdr:rowOff>238125</xdr:rowOff>
        </xdr:from>
        <xdr:to>
          <xdr:col>8</xdr:col>
          <xdr:colOff>742949</xdr:colOff>
          <xdr:row>4</xdr:row>
          <xdr:rowOff>228600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26"/>
  <sheetViews>
    <sheetView tabSelected="1" workbookViewId="0">
      <selection activeCell="N8" sqref="N8"/>
    </sheetView>
  </sheetViews>
  <sheetFormatPr defaultRowHeight="14.25"/>
  <cols>
    <col min="1" max="1" width="7.25" customWidth="1"/>
    <col min="2" max="2" width="23.375" customWidth="1"/>
    <col min="3" max="3" width="4.125" style="13" customWidth="1"/>
    <col min="4" max="4" width="12.75" customWidth="1"/>
    <col min="6" max="6" width="10.375" customWidth="1"/>
    <col min="7" max="7" width="10.75" customWidth="1"/>
    <col min="8" max="13" width="9.75" customWidth="1"/>
    <col min="14" max="15" width="10.625" customWidth="1"/>
    <col min="16" max="16" width="10.625" style="13" customWidth="1"/>
    <col min="17" max="18" width="10.625" customWidth="1"/>
  </cols>
  <sheetData>
    <row r="2" spans="1:18" ht="18">
      <c r="D2" s="4" t="s">
        <v>0</v>
      </c>
      <c r="E2" s="102" t="s">
        <v>38</v>
      </c>
      <c r="F2" s="102"/>
      <c r="G2" s="102"/>
      <c r="H2" s="102"/>
      <c r="I2" s="13"/>
      <c r="J2" s="13"/>
      <c r="N2" s="64" t="s">
        <v>34</v>
      </c>
    </row>
    <row r="3" spans="1:18" ht="15" thickBot="1">
      <c r="D3" s="2" t="s">
        <v>3</v>
      </c>
      <c r="E3" s="13" t="s">
        <v>39</v>
      </c>
      <c r="F3" s="13"/>
      <c r="H3" s="13"/>
      <c r="I3" s="13"/>
      <c r="J3" s="13"/>
      <c r="N3" s="64" t="s">
        <v>35</v>
      </c>
    </row>
    <row r="4" spans="1:18" ht="17.25" customHeight="1" thickBot="1">
      <c r="D4" s="2" t="s">
        <v>48</v>
      </c>
      <c r="E4" t="s">
        <v>49</v>
      </c>
      <c r="F4" s="13"/>
      <c r="H4" s="62" t="s">
        <v>10</v>
      </c>
      <c r="I4" s="10">
        <v>0.38</v>
      </c>
      <c r="J4" s="3" t="s">
        <v>41</v>
      </c>
      <c r="K4" s="13"/>
      <c r="L4" s="13"/>
      <c r="M4" s="13"/>
      <c r="N4" s="64" t="s">
        <v>36</v>
      </c>
    </row>
    <row r="5" spans="1:18" s="13" customFormat="1" ht="18" customHeight="1" thickBot="1">
      <c r="B5" s="14"/>
      <c r="C5" s="14"/>
      <c r="D5" s="14"/>
      <c r="E5" s="14"/>
      <c r="H5" s="13" t="s">
        <v>37</v>
      </c>
      <c r="J5" s="63">
        <v>1</v>
      </c>
    </row>
    <row r="6" spans="1:18" ht="14.25" customHeight="1">
      <c r="A6" s="103" t="s">
        <v>25</v>
      </c>
      <c r="B6" s="90" t="s">
        <v>4</v>
      </c>
      <c r="C6" s="99" t="s">
        <v>19</v>
      </c>
      <c r="D6" s="92" t="s">
        <v>5</v>
      </c>
      <c r="E6" s="94" t="s">
        <v>6</v>
      </c>
      <c r="F6" s="72" t="s">
        <v>11</v>
      </c>
      <c r="G6" s="72" t="s">
        <v>14</v>
      </c>
      <c r="H6" s="72" t="s">
        <v>7</v>
      </c>
      <c r="I6" s="72" t="s">
        <v>13</v>
      </c>
      <c r="J6" s="74" t="s">
        <v>33</v>
      </c>
      <c r="K6" s="74" t="s">
        <v>20</v>
      </c>
      <c r="L6" s="76" t="s">
        <v>12</v>
      </c>
      <c r="M6" s="78" t="s">
        <v>21</v>
      </c>
      <c r="N6" s="136" t="s">
        <v>61</v>
      </c>
      <c r="O6" s="137"/>
      <c r="P6" s="137"/>
      <c r="Q6" s="137"/>
      <c r="R6" s="138"/>
    </row>
    <row r="7" spans="1:18" ht="14.25" customHeight="1">
      <c r="A7" s="103"/>
      <c r="B7" s="91"/>
      <c r="C7" s="100"/>
      <c r="D7" s="93"/>
      <c r="E7" s="95"/>
      <c r="F7" s="73"/>
      <c r="G7" s="73"/>
      <c r="H7" s="73"/>
      <c r="I7" s="73"/>
      <c r="J7" s="75"/>
      <c r="K7" s="75"/>
      <c r="L7" s="77"/>
      <c r="M7" s="85"/>
      <c r="N7" s="139" t="s">
        <v>62</v>
      </c>
      <c r="O7" s="69" t="s">
        <v>63</v>
      </c>
      <c r="P7" s="69" t="s">
        <v>68</v>
      </c>
      <c r="Q7" s="85" t="s">
        <v>9</v>
      </c>
      <c r="R7" s="86"/>
    </row>
    <row r="8" spans="1:18" ht="88.5" customHeight="1">
      <c r="A8" s="103"/>
      <c r="B8" s="91"/>
      <c r="C8" s="101"/>
      <c r="D8" s="93"/>
      <c r="E8" s="96"/>
      <c r="F8" s="73"/>
      <c r="G8" s="73"/>
      <c r="H8" s="73"/>
      <c r="I8" s="73"/>
      <c r="J8" s="75"/>
      <c r="K8" s="75"/>
      <c r="L8" s="77"/>
      <c r="M8" s="85"/>
      <c r="N8" s="141" t="s">
        <v>64</v>
      </c>
      <c r="O8" s="142" t="s">
        <v>70</v>
      </c>
      <c r="P8" s="43" t="s">
        <v>69</v>
      </c>
      <c r="Q8" s="43" t="s">
        <v>22</v>
      </c>
      <c r="R8" s="18" t="s">
        <v>23</v>
      </c>
    </row>
    <row r="9" spans="1:18" ht="15" thickBot="1">
      <c r="B9" s="128">
        <v>1</v>
      </c>
      <c r="C9" s="129" t="s">
        <v>1</v>
      </c>
      <c r="D9" s="130">
        <v>2</v>
      </c>
      <c r="E9" s="131" t="s">
        <v>2</v>
      </c>
      <c r="F9" s="131">
        <v>3</v>
      </c>
      <c r="G9" s="131">
        <v>4</v>
      </c>
      <c r="H9" s="131">
        <v>5</v>
      </c>
      <c r="I9" s="131">
        <v>6</v>
      </c>
      <c r="J9" s="131">
        <v>7</v>
      </c>
      <c r="K9" s="131">
        <v>8</v>
      </c>
      <c r="L9" s="131">
        <v>9</v>
      </c>
      <c r="M9" s="69">
        <v>10</v>
      </c>
      <c r="N9" s="140">
        <v>11</v>
      </c>
      <c r="O9" s="127">
        <v>12</v>
      </c>
      <c r="P9" s="147">
        <v>13</v>
      </c>
      <c r="Q9" s="69">
        <v>14</v>
      </c>
      <c r="R9" s="18">
        <v>15</v>
      </c>
    </row>
    <row r="10" spans="1:18" ht="25.5">
      <c r="A10" s="5">
        <v>1</v>
      </c>
      <c r="B10" s="65" t="s">
        <v>40</v>
      </c>
      <c r="C10" s="122">
        <v>2</v>
      </c>
      <c r="D10" s="11"/>
      <c r="E10" s="11">
        <v>6</v>
      </c>
      <c r="F10" s="49">
        <f>IF($J$5=1,IF(E10&lt;=5,0.75,IF(E10&lt;10,0.75+0.25*(E10-5)/5,IF(E10&lt;20,1+0.25*(E10-10)/10,IF(E10&lt;40,1.25+0.25*(E10-20)/20,IF(E10&lt;60,1.5+0.2*(E10-40)/20,IF(E10&lt;80,1.7+0.15*(E10-60)/20,IF(E10&lt;100,1.85+0.15*(E10-80)/20,IF(E10&lt;150,2+0.25*(E10-100)/50,IF(E10&lt;200,2.25+0.2*(E10-150)/50,IF(E10&lt;250,2.45+0.2*(E10-200)/50,IF(E10&lt;300,2.65+0.2*(E10-250)/50,2.75))))))))))),IF($J$5=2,IF(E10&lt;=5,0.5,IF(E10&lt;10,0.5+0.15*(E10-5)/5,IF(E10&lt;20,0.65+0.2*(E10-10)/10,IF(E10&lt;40,0.85+0.25*(E10-20)/20,IF(E10&lt;60,1.1+0.2*(E10-40)/20,IF(E10&lt;80,1.3+0.15*(E10-60)/20,IF(E10&lt;100,1.45+0.15*(E10-80)/20,IF(E10&lt;150,1.6+0.3*(E10-100)/50,IF(E10&lt;200,1.9+0.2*(E10-150)/50,IF(E10&lt;250,2.1+0.2*(E10-200)/50,IF(E10&lt;300,2.3+0.2*(E10-250)/50,2.5))))))))))),IF($J$5=3,IF(E10&lt;=10,0.4,IF(E10&lt;20,0.4+0.15*(E10-10)/10,IF(E10&lt;40,0.55+0.25*(E10-20)/20,IF(E10&lt;60,0.8+0.2*(E10-40)/20,IF(E10&lt;80,1+0.15*(E10-60)/20,IF(E10&lt;100,1.15+0.1*(E10-80)/20,IF(E10&lt;150,1.25+0.3*(E10-100)/50,IF(E10&lt;200,1.55+0.25*(E10-150)/50,IF(E10&lt;250,1.8+0.2*(E10-200)/50,IF(E10&lt;300,2+0.2*(E10-250)/50,2.2)))))))))))))</f>
        <v>0.8</v>
      </c>
      <c r="G10" s="19">
        <f>F10*$I$4</f>
        <v>0.30400000000000005</v>
      </c>
      <c r="H10" s="11">
        <v>5.13</v>
      </c>
      <c r="I10" s="11">
        <v>22.63</v>
      </c>
      <c r="J10" s="19">
        <f>H10/I10</f>
        <v>0.22669023420238621</v>
      </c>
      <c r="K10" s="19">
        <f>1.4*J10</f>
        <v>0.31736632788334068</v>
      </c>
      <c r="L10" s="49">
        <f t="shared" ref="L10:L17" si="0">IF(J10&lt;0.1,0.99,IF(J10&lt;0.2,0.99-(J10-0.1)/0.1*0.18,IF(J10&lt;0.3,0.81-(J10-0.2)/0.1*0.16,IF(J10&lt;0.4,0.65-(J10-0.3)/0.1*0.17,IF(J10&lt;0.5,0.48-(J10-0.4)/0.1*0.16,IF(J10&lt;0.6,0.32-(J10-0.5)/0.1*0.17,0.15))))))</f>
        <v>0.76729562527618211</v>
      </c>
      <c r="M10" s="132">
        <f>K10*(1+L10)</f>
        <v>0.56088012287819444</v>
      </c>
      <c r="N10" s="143">
        <f>G10*M10*I10*C10</f>
        <v>7.7171720458859934</v>
      </c>
      <c r="O10" s="49">
        <f>N10*0.95*IF($J$5=1,0.76,IF($J$5=2,1.06,1.78))*POWER(E10/10,IF($J$5=1,-0.15,IF($J$5=2,-0.2,-0.25)))</f>
        <v>6.0155133159932106</v>
      </c>
      <c r="P10" s="149">
        <f>O10+N10</f>
        <v>13.732685361879204</v>
      </c>
      <c r="Q10" s="19">
        <f>IF(A10=1,SIN(PI()/4)*1.2,0.65)*P10</f>
        <v>11.652569931943225</v>
      </c>
      <c r="R10" s="51">
        <f>IF(A10=1,SIN(PI()/4)*1.2,0.3)*P10</f>
        <v>11.652569931943225</v>
      </c>
    </row>
    <row r="11" spans="1:18" ht="25.5">
      <c r="A11" s="5">
        <v>1</v>
      </c>
      <c r="B11" s="66" t="s">
        <v>42</v>
      </c>
      <c r="C11" s="123">
        <v>1</v>
      </c>
      <c r="D11" s="6"/>
      <c r="E11" s="6">
        <v>6</v>
      </c>
      <c r="F11" s="52">
        <f t="shared" ref="F11:F20" si="1">IF($J$5=1,IF(E11&lt;=5,0.75,IF(E11&lt;10,0.75+0.25*(E11-5)/5,IF(E11&lt;20,1+0.25*(E11-10)/10,IF(E11&lt;40,1.25+0.25*(E11-20)/20,IF(E11&lt;60,1.5+0.2*(E11-40)/20,IF(E11&lt;80,1.7+0.15*(E11-60)/20,IF(E11&lt;100,1.85+0.15*(E11-80)/20,IF(E11&lt;150,2+0.25*(E11-100)/50,IF(E11&lt;200,2.25+0.2*(E11-150)/50,IF(E11&lt;250,2.45+0.2*(E11-200)/50,IF(E11&lt;300,2.65+0.2*(E11-250)/50,2.75))))))))))),IF($J$5=2,IF(E11&lt;=5,0.5,IF(E11&lt;10,0.5+0.15*(E11-5)/5,IF(E11&lt;20,0.65+0.2*(E11-10)/10,IF(E11&lt;40,0.85+0.25*(E11-20)/20,IF(E11&lt;60,1.1+0.2*(E11-40)/20,IF(E11&lt;80,1.3+0.15*(E11-60)/20,IF(E11&lt;100,1.45+0.15*(E11-80)/20,IF(E11&lt;150,1.6+0.3*(E11-100)/50,IF(E11&lt;200,1.9+0.2*(E11-150)/50,IF(E11&lt;250,2.1+0.2*(E11-200)/50,IF(E11&lt;300,2.3+0.2*(E11-250)/50,2.5))))))))))),IF($J$5=3,IF(E11&lt;=10,0.4,IF(E11&lt;20,0.4+0.15*(E11-10)/10,IF(E11&lt;40,0.55+0.25*(E11-20)/20,IF(E11&lt;60,0.8+0.2*(E11-40)/20,IF(E11&lt;80,1+0.15*(E11-60)/20,IF(E11&lt;100,1.15+0.1*(E11-80)/20,IF(E11&lt;150,1.25+0.3*(E11-100)/50,IF(E11&lt;200,1.55+0.25*(E11-150)/50,IF(E11&lt;250,1.8+0.2*(E11-200)/50,IF(E11&lt;300,2+0.2*(E11-250)/50,2.2)))))))))))))</f>
        <v>0.8</v>
      </c>
      <c r="G11" s="20">
        <f t="shared" ref="G11:G20" si="2">F11*$I$4</f>
        <v>0.30400000000000005</v>
      </c>
      <c r="H11" s="6">
        <v>6.41</v>
      </c>
      <c r="I11" s="6">
        <v>22.63</v>
      </c>
      <c r="J11" s="20">
        <f t="shared" ref="J11:J20" si="3">H11/I11</f>
        <v>0.28325231992929739</v>
      </c>
      <c r="K11" s="20">
        <f t="shared" ref="K11:K20" si="4">1.4*J11</f>
        <v>0.39655324790101631</v>
      </c>
      <c r="L11" s="52">
        <f t="shared" si="0"/>
        <v>0.6767962881131242</v>
      </c>
      <c r="M11" s="133">
        <f t="shared" ref="M11:M20" si="5">K11*(1+L11)</f>
        <v>0.66493901411962775</v>
      </c>
      <c r="N11" s="144">
        <f>G11*M11*I11*C11</f>
        <v>4.574461246416262</v>
      </c>
      <c r="O11" s="52">
        <f t="shared" ref="O11:O20" si="6">N11*0.95*IF($J$5=1,0.76,IF($J$5=2,1.06,1.78))*POWER(E11/10,IF($J$5=1,-0.15,IF($J$5=2,-0.2,-0.25)))</f>
        <v>3.5657793266357936</v>
      </c>
      <c r="P11" s="150">
        <f t="shared" ref="P11:P20" si="7">O11+N11</f>
        <v>8.140240573052056</v>
      </c>
      <c r="Q11" s="20">
        <f t="shared" ref="Q11:Q20" si="8">IF(A11=1,SIN(PI()/4)*1.2,0.65)*P11</f>
        <v>6.9072231716339703</v>
      </c>
      <c r="R11" s="54">
        <f t="shared" ref="R11:R20" si="9">IF(A11=1,SIN(PI()/4)*1.2,0.3)*P11</f>
        <v>6.9072231716339703</v>
      </c>
    </row>
    <row r="12" spans="1:18" ht="25.5">
      <c r="A12" s="5">
        <v>1</v>
      </c>
      <c r="B12" s="66" t="s">
        <v>46</v>
      </c>
      <c r="C12" s="123">
        <v>2</v>
      </c>
      <c r="D12" s="6"/>
      <c r="E12" s="6">
        <v>14.3</v>
      </c>
      <c r="F12" s="52">
        <f t="shared" si="1"/>
        <v>1.1074999999999999</v>
      </c>
      <c r="G12" s="20">
        <f t="shared" si="2"/>
        <v>0.42085</v>
      </c>
      <c r="H12" s="6">
        <v>1.82</v>
      </c>
      <c r="I12" s="6">
        <v>4.54</v>
      </c>
      <c r="J12" s="20">
        <f t="shared" si="3"/>
        <v>0.40088105726872247</v>
      </c>
      <c r="K12" s="20">
        <f t="shared" si="4"/>
        <v>0.56123348017621144</v>
      </c>
      <c r="L12" s="52">
        <f t="shared" si="0"/>
        <v>0.47859030837004407</v>
      </c>
      <c r="M12" s="133">
        <f t="shared" si="5"/>
        <v>0.82983438452133751</v>
      </c>
      <c r="N12" s="144">
        <f>G12*M12*I12*C12</f>
        <v>3.1710610705903086</v>
      </c>
      <c r="O12" s="52">
        <f t="shared" si="6"/>
        <v>2.1699083849318144</v>
      </c>
      <c r="P12" s="150">
        <f t="shared" si="7"/>
        <v>5.3409694555221225</v>
      </c>
      <c r="Q12" s="20">
        <f t="shared" si="8"/>
        <v>4.5319628641318976</v>
      </c>
      <c r="R12" s="54">
        <f t="shared" si="9"/>
        <v>4.5319628641318976</v>
      </c>
    </row>
    <row r="13" spans="1:18" ht="25.5">
      <c r="A13" s="5">
        <v>1</v>
      </c>
      <c r="B13" s="66" t="s">
        <v>47</v>
      </c>
      <c r="C13" s="123">
        <v>1</v>
      </c>
      <c r="D13" s="6"/>
      <c r="E13" s="6">
        <v>14.3</v>
      </c>
      <c r="F13" s="52">
        <f t="shared" si="1"/>
        <v>1.1074999999999999</v>
      </c>
      <c r="G13" s="20">
        <f t="shared" si="2"/>
        <v>0.42085</v>
      </c>
      <c r="H13" s="6">
        <v>2.25</v>
      </c>
      <c r="I13" s="6">
        <v>4.54</v>
      </c>
      <c r="J13" s="20">
        <f t="shared" si="3"/>
        <v>0.49559471365638769</v>
      </c>
      <c r="K13" s="20">
        <f t="shared" si="4"/>
        <v>0.69383259911894268</v>
      </c>
      <c r="L13" s="52">
        <f t="shared" si="0"/>
        <v>0.32704845814977967</v>
      </c>
      <c r="M13" s="133">
        <f t="shared" si="5"/>
        <v>0.92074948087484709</v>
      </c>
      <c r="N13" s="144">
        <f>G13*M13*I13*C13</f>
        <v>1.7592382823788546</v>
      </c>
      <c r="O13" s="52">
        <f t="shared" si="6"/>
        <v>1.203819735744255</v>
      </c>
      <c r="P13" s="150">
        <f t="shared" si="7"/>
        <v>2.9630580181231094</v>
      </c>
      <c r="Q13" s="20">
        <f t="shared" si="8"/>
        <v>2.5142381011968271</v>
      </c>
      <c r="R13" s="54">
        <f t="shared" si="9"/>
        <v>2.5142381011968271</v>
      </c>
    </row>
    <row r="14" spans="1:18" s="13" customFormat="1" ht="15.75">
      <c r="A14" s="5"/>
      <c r="B14" s="67"/>
      <c r="C14" s="124"/>
      <c r="D14" s="22"/>
      <c r="E14" s="22">
        <v>1</v>
      </c>
      <c r="F14" s="55">
        <f t="shared" si="1"/>
        <v>0.75</v>
      </c>
      <c r="G14" s="20">
        <f t="shared" si="2"/>
        <v>0.28500000000000003</v>
      </c>
      <c r="H14" s="22"/>
      <c r="I14" s="22">
        <v>1</v>
      </c>
      <c r="J14" s="20">
        <f t="shared" si="3"/>
        <v>0</v>
      </c>
      <c r="K14" s="20">
        <f t="shared" si="4"/>
        <v>0</v>
      </c>
      <c r="L14" s="52">
        <f t="shared" si="0"/>
        <v>0.99</v>
      </c>
      <c r="M14" s="134">
        <f t="shared" si="5"/>
        <v>0</v>
      </c>
      <c r="N14" s="145">
        <f>G14*M14*I14*C14</f>
        <v>0</v>
      </c>
      <c r="O14" s="52">
        <f t="shared" si="6"/>
        <v>0</v>
      </c>
      <c r="P14" s="151">
        <f t="shared" si="7"/>
        <v>0</v>
      </c>
      <c r="Q14" s="57">
        <f t="shared" si="8"/>
        <v>0</v>
      </c>
      <c r="R14" s="58">
        <f t="shared" si="9"/>
        <v>0</v>
      </c>
    </row>
    <row r="15" spans="1:18" s="13" customFormat="1" ht="15.75">
      <c r="A15" s="5"/>
      <c r="B15" s="67"/>
      <c r="C15" s="124"/>
      <c r="D15" s="22"/>
      <c r="E15" s="22">
        <v>1</v>
      </c>
      <c r="F15" s="55">
        <f t="shared" si="1"/>
        <v>0.75</v>
      </c>
      <c r="G15" s="20">
        <f t="shared" si="2"/>
        <v>0.28500000000000003</v>
      </c>
      <c r="H15" s="22"/>
      <c r="I15" s="22">
        <v>1</v>
      </c>
      <c r="J15" s="20">
        <f t="shared" si="3"/>
        <v>0</v>
      </c>
      <c r="K15" s="20">
        <f t="shared" si="4"/>
        <v>0</v>
      </c>
      <c r="L15" s="52">
        <f t="shared" si="0"/>
        <v>0.99</v>
      </c>
      <c r="M15" s="134">
        <f t="shared" si="5"/>
        <v>0</v>
      </c>
      <c r="N15" s="145">
        <f>G15*M15*I15*C15</f>
        <v>0</v>
      </c>
      <c r="O15" s="52">
        <f t="shared" si="6"/>
        <v>0</v>
      </c>
      <c r="P15" s="151">
        <f t="shared" si="7"/>
        <v>0</v>
      </c>
      <c r="Q15" s="57">
        <f t="shared" si="8"/>
        <v>0</v>
      </c>
      <c r="R15" s="58">
        <f t="shared" si="9"/>
        <v>0</v>
      </c>
    </row>
    <row r="16" spans="1:18" s="13" customFormat="1" ht="15.75">
      <c r="A16" s="5"/>
      <c r="B16" s="67"/>
      <c r="C16" s="124"/>
      <c r="D16" s="22"/>
      <c r="E16" s="22">
        <v>1</v>
      </c>
      <c r="F16" s="55">
        <f t="shared" si="1"/>
        <v>0.75</v>
      </c>
      <c r="G16" s="20">
        <f t="shared" si="2"/>
        <v>0.28500000000000003</v>
      </c>
      <c r="H16" s="22"/>
      <c r="I16" s="22">
        <v>1</v>
      </c>
      <c r="J16" s="20">
        <f t="shared" si="3"/>
        <v>0</v>
      </c>
      <c r="K16" s="20">
        <f t="shared" si="4"/>
        <v>0</v>
      </c>
      <c r="L16" s="52">
        <f t="shared" si="0"/>
        <v>0.99</v>
      </c>
      <c r="M16" s="134">
        <f t="shared" si="5"/>
        <v>0</v>
      </c>
      <c r="N16" s="145">
        <f>G16*M16*I16*C16</f>
        <v>0</v>
      </c>
      <c r="O16" s="52">
        <f t="shared" si="6"/>
        <v>0</v>
      </c>
      <c r="P16" s="151">
        <f t="shared" si="7"/>
        <v>0</v>
      </c>
      <c r="Q16" s="57">
        <f t="shared" si="8"/>
        <v>0</v>
      </c>
      <c r="R16" s="58">
        <f t="shared" si="9"/>
        <v>0</v>
      </c>
    </row>
    <row r="17" spans="1:18" s="13" customFormat="1" ht="15.75">
      <c r="A17" s="5"/>
      <c r="B17" s="67"/>
      <c r="C17" s="124"/>
      <c r="D17" s="22"/>
      <c r="E17" s="22">
        <v>1</v>
      </c>
      <c r="F17" s="55">
        <f t="shared" si="1"/>
        <v>0.75</v>
      </c>
      <c r="G17" s="20">
        <f t="shared" si="2"/>
        <v>0.28500000000000003</v>
      </c>
      <c r="H17" s="22"/>
      <c r="I17" s="22">
        <v>1</v>
      </c>
      <c r="J17" s="20">
        <f t="shared" si="3"/>
        <v>0</v>
      </c>
      <c r="K17" s="20">
        <f t="shared" si="4"/>
        <v>0</v>
      </c>
      <c r="L17" s="52">
        <f t="shared" si="0"/>
        <v>0.99</v>
      </c>
      <c r="M17" s="134">
        <f t="shared" si="5"/>
        <v>0</v>
      </c>
      <c r="N17" s="145">
        <f>G17*M17*I17*C17</f>
        <v>0</v>
      </c>
      <c r="O17" s="52">
        <f t="shared" si="6"/>
        <v>0</v>
      </c>
      <c r="P17" s="151">
        <f t="shared" si="7"/>
        <v>0</v>
      </c>
      <c r="Q17" s="57">
        <f t="shared" si="8"/>
        <v>0</v>
      </c>
      <c r="R17" s="58">
        <f t="shared" si="9"/>
        <v>0</v>
      </c>
    </row>
    <row r="18" spans="1:18" s="13" customFormat="1" ht="15.75">
      <c r="A18" s="5">
        <v>2</v>
      </c>
      <c r="B18" s="67" t="s">
        <v>43</v>
      </c>
      <c r="C18" s="124">
        <v>1</v>
      </c>
      <c r="D18" s="22"/>
      <c r="E18" s="22">
        <v>17.7</v>
      </c>
      <c r="F18" s="55">
        <f t="shared" si="1"/>
        <v>1.1924999999999999</v>
      </c>
      <c r="G18" s="20">
        <f>F18*$I$4</f>
        <v>0.45314999999999994</v>
      </c>
      <c r="H18" s="22">
        <v>8.7799999999999994</v>
      </c>
      <c r="I18" s="22">
        <v>27.6</v>
      </c>
      <c r="J18" s="57">
        <f t="shared" ref="J18" si="10">H18/I18</f>
        <v>0.31811594202898547</v>
      </c>
      <c r="K18" s="57">
        <f t="shared" ref="K18" si="11">1.4*J18</f>
        <v>0.44536231884057964</v>
      </c>
      <c r="L18" s="55">
        <f>IF(J18&lt;0.1,0.99,IF(J18&lt;0.2,0.99-(J18-0.1)/0.1*0.18,IF(J18&lt;0.3,0.81-(J18-0.2)/0.1*0.16,IF(J18&lt;0.4,0.65-(J18-0.3)/0.1*0.17,IF(J18&lt;0.5,0.48-(J18-0.4)/0.1*0.16,IF(J18&lt;0.6,0.32-(J18-0.5)/0.1*0.17,0.15))))))</f>
        <v>0.61920289855072475</v>
      </c>
      <c r="M18" s="134">
        <f t="shared" ref="M18" si="12">K18*(1+L18)</f>
        <v>0.7211319575719386</v>
      </c>
      <c r="N18" s="145">
        <f>G18*M18*I18*C18</f>
        <v>9.0191541254347811</v>
      </c>
      <c r="O18" s="52">
        <f t="shared" si="6"/>
        <v>5.9773270111524104</v>
      </c>
      <c r="P18" s="151">
        <f t="shared" si="7"/>
        <v>14.996481136587192</v>
      </c>
      <c r="Q18" s="57">
        <f t="shared" si="8"/>
        <v>9.7477127387816758</v>
      </c>
      <c r="R18" s="58">
        <f t="shared" si="9"/>
        <v>4.4989443409761574</v>
      </c>
    </row>
    <row r="19" spans="1:18" s="13" customFormat="1" ht="15.75">
      <c r="A19" s="5">
        <v>1</v>
      </c>
      <c r="B19" s="67" t="s">
        <v>44</v>
      </c>
      <c r="C19" s="124">
        <v>2</v>
      </c>
      <c r="D19" s="22"/>
      <c r="E19" s="22">
        <v>20</v>
      </c>
      <c r="F19" s="55">
        <f t="shared" si="1"/>
        <v>1.25</v>
      </c>
      <c r="G19" s="20">
        <f>F19*$I$4</f>
        <v>0.47499999999999998</v>
      </c>
      <c r="H19" s="22">
        <v>0.87</v>
      </c>
      <c r="I19" s="22">
        <v>3.12</v>
      </c>
      <c r="J19" s="57">
        <f t="shared" ref="J19" si="13">H19/I19</f>
        <v>0.27884615384615385</v>
      </c>
      <c r="K19" s="57">
        <f t="shared" ref="K19" si="14">1.4*J19</f>
        <v>0.39038461538461539</v>
      </c>
      <c r="L19" s="55">
        <f>IF(J19&lt;0.1,0.99,IF(J19&lt;0.2,0.99-(J19-0.1)/0.1*0.18,IF(J19&lt;0.3,0.81-(J19-0.2)/0.1*0.16,IF(J19&lt;0.4,0.65-(J19-0.3)/0.1*0.17,IF(J19&lt;0.5,0.48-(J19-0.4)/0.1*0.16,IF(J19&lt;0.6,0.32-(J19-0.5)/0.1*0.17,0.15))))))</f>
        <v>0.68384615384615388</v>
      </c>
      <c r="M19" s="134">
        <f t="shared" ref="M19" si="15">K19*(1+L19)</f>
        <v>0.65734763313609468</v>
      </c>
      <c r="N19" s="145">
        <f>G19*M19*I19*C19</f>
        <v>1.9483783846153844</v>
      </c>
      <c r="O19" s="52">
        <f t="shared" si="6"/>
        <v>1.2678153365833522</v>
      </c>
      <c r="P19" s="151">
        <f t="shared" si="7"/>
        <v>3.2161937211987368</v>
      </c>
      <c r="Q19" s="57">
        <f t="shared" si="8"/>
        <v>2.7290308678430675</v>
      </c>
      <c r="R19" s="58">
        <f t="shared" si="9"/>
        <v>2.7290308678430675</v>
      </c>
    </row>
    <row r="20" spans="1:18" ht="16.5" thickBot="1">
      <c r="A20" s="5">
        <v>1</v>
      </c>
      <c r="B20" s="68" t="s">
        <v>45</v>
      </c>
      <c r="C20" s="125">
        <v>2</v>
      </c>
      <c r="D20" s="12"/>
      <c r="E20" s="12">
        <v>26</v>
      </c>
      <c r="F20" s="59">
        <f t="shared" si="1"/>
        <v>1.325</v>
      </c>
      <c r="G20" s="21">
        <f t="shared" si="2"/>
        <v>0.50349999999999995</v>
      </c>
      <c r="H20" s="12">
        <v>0</v>
      </c>
      <c r="I20" s="12">
        <v>1</v>
      </c>
      <c r="J20" s="21">
        <f t="shared" si="3"/>
        <v>0</v>
      </c>
      <c r="K20" s="21">
        <f t="shared" si="4"/>
        <v>0</v>
      </c>
      <c r="L20" s="59">
        <f>IF(J20&lt;0.1,0.99,IF(J20&lt;0.2,0.99-(J20-0.1)/0.1*0.18,IF(J20&lt;0.3,0.81-(J20-0.2)/0.1*0.16,IF(J20&lt;0.4,0.65-(J20-0.3)/0.1*0.17,IF(J20&lt;0.5,0.48-(J20-0.4)/0.1*0.16,IF(J20&lt;0.6,0.32-(J20-0.5)/0.1*0.17,0.15))))))</f>
        <v>0.99</v>
      </c>
      <c r="M20" s="135">
        <f t="shared" si="5"/>
        <v>0</v>
      </c>
      <c r="N20" s="146">
        <f>G20*M20*I20*C20</f>
        <v>0</v>
      </c>
      <c r="O20" s="59">
        <f t="shared" si="6"/>
        <v>0</v>
      </c>
      <c r="P20" s="152">
        <f t="shared" si="7"/>
        <v>0</v>
      </c>
      <c r="Q20" s="21">
        <f t="shared" si="8"/>
        <v>0</v>
      </c>
      <c r="R20" s="61">
        <f t="shared" si="9"/>
        <v>0</v>
      </c>
    </row>
    <row r="21" spans="1:18" ht="30" customHeight="1">
      <c r="B21" s="13"/>
      <c r="D21" s="13"/>
      <c r="E21" s="13"/>
      <c r="F21" s="13"/>
      <c r="G21" s="2" t="s">
        <v>26</v>
      </c>
      <c r="H21" s="14">
        <f>SUM(H10:H20)</f>
        <v>25.26</v>
      </c>
      <c r="I21" s="13"/>
      <c r="J21" s="13"/>
      <c r="K21" s="97" t="s">
        <v>16</v>
      </c>
      <c r="L21" s="13"/>
      <c r="M21" s="1"/>
      <c r="P21" s="97"/>
      <c r="Q21" s="97" t="s">
        <v>24</v>
      </c>
      <c r="R21" s="97" t="s">
        <v>24</v>
      </c>
    </row>
    <row r="22" spans="1:18" ht="20.25" customHeight="1" thickBot="1">
      <c r="B22" s="15"/>
      <c r="C22" s="15"/>
      <c r="D22" s="13"/>
      <c r="E22" s="13"/>
      <c r="F22" s="13"/>
      <c r="G22" s="13"/>
      <c r="H22" s="13"/>
      <c r="I22" s="13"/>
      <c r="J22" s="13"/>
      <c r="K22" s="98"/>
      <c r="L22" s="13"/>
      <c r="M22" s="1"/>
      <c r="P22" s="97"/>
      <c r="Q22" s="97"/>
      <c r="R22" s="97"/>
    </row>
    <row r="23" spans="1:18" ht="18.75" customHeight="1">
      <c r="B23" s="126" t="s">
        <v>67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"/>
      <c r="N23" s="148" t="s">
        <v>65</v>
      </c>
      <c r="O23" s="89"/>
      <c r="P23" s="7" t="s">
        <v>27</v>
      </c>
      <c r="Q23" s="8" t="s">
        <v>28</v>
      </c>
      <c r="R23" s="9" t="s">
        <v>29</v>
      </c>
    </row>
    <row r="24" spans="1:18" ht="16.5" customHeight="1" thickBot="1">
      <c r="B24" s="126" t="s">
        <v>66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3"/>
      <c r="N24" s="148"/>
      <c r="O24" s="89"/>
      <c r="P24" s="116">
        <f>SUM(P10:P20)</f>
        <v>48.389628266362422</v>
      </c>
      <c r="Q24" s="117">
        <f>SUM(Q10:Q20)</f>
        <v>38.082737675530666</v>
      </c>
      <c r="R24" s="118">
        <f>SUM(R10:R20)</f>
        <v>32.833969277725146</v>
      </c>
    </row>
    <row r="25" spans="1:18" ht="18.75">
      <c r="B25" s="15"/>
      <c r="C25" s="15"/>
      <c r="D25" s="13"/>
      <c r="E25" s="13"/>
      <c r="F25" s="13"/>
      <c r="G25" s="13"/>
      <c r="H25" s="13"/>
      <c r="I25" s="13"/>
      <c r="J25" s="13"/>
      <c r="K25" s="13"/>
      <c r="L25" s="13"/>
      <c r="N25" s="148"/>
      <c r="O25" s="89"/>
      <c r="P25" s="7" t="s">
        <v>30</v>
      </c>
      <c r="Q25" s="8" t="s">
        <v>31</v>
      </c>
      <c r="R25" s="9" t="s">
        <v>32</v>
      </c>
    </row>
    <row r="26" spans="1:18" ht="16.5" thickBot="1">
      <c r="B26" s="15"/>
      <c r="C26" s="15"/>
      <c r="D26" s="13"/>
      <c r="E26" s="13"/>
      <c r="F26" s="13"/>
      <c r="G26" s="13"/>
      <c r="H26" s="13"/>
      <c r="I26" s="13"/>
      <c r="J26" s="13"/>
      <c r="K26" s="13"/>
      <c r="L26" s="13"/>
      <c r="N26" s="148"/>
      <c r="O26" s="89"/>
      <c r="P26" s="119">
        <f>P10*$E$10+P11*$E$11+P12*$E$12+P13*$E$13+P14*$E$14+P15*$E$15+P16*$E$16+P17*$E$17+P18*$E$18+P19*$E$19+P20*$E$20</f>
        <v>579.74673902428242</v>
      </c>
      <c r="Q26" s="120">
        <f t="shared" ref="Q26:R26" si="16">Q10*$E$10+Q11*$E$11+Q12*$E$12+Q13*$E$13+Q14*$E$14+Q15*$E$15+Q16*$E$16+Q17*$E$17+Q18*$E$18+Q19*$E$19+Q20*$E$20</f>
        <v>439.23456525896097</v>
      </c>
      <c r="R26" s="121">
        <f t="shared" si="16"/>
        <v>346.33136461780327</v>
      </c>
    </row>
  </sheetData>
  <mergeCells count="23">
    <mergeCell ref="E2:H2"/>
    <mergeCell ref="P21:P22"/>
    <mergeCell ref="Q21:Q22"/>
    <mergeCell ref="R21:R22"/>
    <mergeCell ref="A6:A8"/>
    <mergeCell ref="N6:R6"/>
    <mergeCell ref="B6:B8"/>
    <mergeCell ref="D6:D8"/>
    <mergeCell ref="E6:E8"/>
    <mergeCell ref="K21:K22"/>
    <mergeCell ref="F6:F8"/>
    <mergeCell ref="C6:C8"/>
    <mergeCell ref="B23:K23"/>
    <mergeCell ref="B24:K24"/>
    <mergeCell ref="N23:O26"/>
    <mergeCell ref="G6:G8"/>
    <mergeCell ref="H6:H8"/>
    <mergeCell ref="I6:I8"/>
    <mergeCell ref="J6:J8"/>
    <mergeCell ref="K6:K8"/>
    <mergeCell ref="L6:L8"/>
    <mergeCell ref="M6:M8"/>
    <mergeCell ref="Q7:R7"/>
  </mergeCells>
  <pageMargins left="3.937007874015748E-2" right="3.937007874015748E-2" top="0.55118110236220474" bottom="0.35433070866141736" header="0.23622047244094491" footer="0.23622047244094491"/>
  <pageSetup paperSize="9" scale="8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4</xdr:row>
                    <xdr:rowOff>0</xdr:rowOff>
                  </from>
                  <to>
                    <xdr:col>8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4"/>
  <sheetViews>
    <sheetView workbookViewId="0">
      <selection activeCell="E18" sqref="E18"/>
    </sheetView>
  </sheetViews>
  <sheetFormatPr defaultRowHeight="14.25"/>
  <cols>
    <col min="1" max="1" width="7.25" style="13" customWidth="1"/>
    <col min="2" max="2" width="9" style="13"/>
    <col min="3" max="3" width="4.125" style="13" customWidth="1"/>
    <col min="4" max="4" width="12.75" style="13" customWidth="1"/>
    <col min="5" max="5" width="9" style="13"/>
    <col min="6" max="6" width="10.375" style="13" customWidth="1"/>
    <col min="7" max="7" width="10.75" style="13" customWidth="1"/>
    <col min="8" max="13" width="9.75" style="13" customWidth="1"/>
    <col min="14" max="14" width="11" style="13" customWidth="1"/>
    <col min="15" max="15" width="14.375" style="13" customWidth="1"/>
    <col min="16" max="16" width="14.125" style="13" customWidth="1"/>
    <col min="17" max="17" width="10.75" style="13" hidden="1" customWidth="1"/>
    <col min="18" max="18" width="11.125" style="13" hidden="1" customWidth="1"/>
    <col min="19" max="19" width="10.75" style="13" hidden="1" customWidth="1"/>
    <col min="20" max="16384" width="9" style="13"/>
  </cols>
  <sheetData>
    <row r="2" spans="1:20" ht="18">
      <c r="D2" s="4" t="s">
        <v>0</v>
      </c>
      <c r="E2" s="104" t="s">
        <v>50</v>
      </c>
      <c r="F2" s="105"/>
      <c r="G2" s="106" t="s">
        <v>34</v>
      </c>
      <c r="H2" s="107"/>
    </row>
    <row r="3" spans="1:20" ht="15" thickBot="1">
      <c r="D3" s="2" t="s">
        <v>3</v>
      </c>
      <c r="G3" s="106" t="s">
        <v>35</v>
      </c>
    </row>
    <row r="4" spans="1:20" ht="19.5" thickBot="1">
      <c r="D4" s="2" t="s">
        <v>48</v>
      </c>
      <c r="E4" s="13" t="s">
        <v>59</v>
      </c>
      <c r="G4" s="106" t="s">
        <v>36</v>
      </c>
      <c r="H4" s="62" t="s">
        <v>10</v>
      </c>
      <c r="I4" s="10">
        <v>0.8</v>
      </c>
      <c r="J4" s="3" t="s">
        <v>60</v>
      </c>
    </row>
    <row r="5" spans="1:20" ht="18.75" customHeight="1" thickBot="1">
      <c r="B5" s="14"/>
      <c r="C5" s="14"/>
      <c r="D5" s="14"/>
      <c r="E5" s="14"/>
      <c r="H5" s="13" t="s">
        <v>37</v>
      </c>
      <c r="J5" s="63">
        <v>1</v>
      </c>
    </row>
    <row r="6" spans="1:20">
      <c r="A6" s="103" t="s">
        <v>25</v>
      </c>
      <c r="B6" s="90" t="s">
        <v>4</v>
      </c>
      <c r="C6" s="99" t="s">
        <v>19</v>
      </c>
      <c r="D6" s="92" t="s">
        <v>5</v>
      </c>
      <c r="E6" s="94" t="s">
        <v>6</v>
      </c>
      <c r="F6" s="72" t="s">
        <v>11</v>
      </c>
      <c r="G6" s="72" t="s">
        <v>14</v>
      </c>
      <c r="H6" s="72" t="s">
        <v>7</v>
      </c>
      <c r="I6" s="72" t="s">
        <v>13</v>
      </c>
      <c r="J6" s="74" t="s">
        <v>33</v>
      </c>
      <c r="K6" s="74" t="s">
        <v>20</v>
      </c>
      <c r="L6" s="76" t="s">
        <v>12</v>
      </c>
      <c r="M6" s="72" t="s">
        <v>21</v>
      </c>
      <c r="N6" s="78" t="s">
        <v>51</v>
      </c>
      <c r="O6" s="79"/>
      <c r="P6" s="80"/>
      <c r="Q6" s="81" t="s">
        <v>8</v>
      </c>
      <c r="R6" s="81"/>
      <c r="S6" s="82"/>
    </row>
    <row r="7" spans="1:20">
      <c r="A7" s="103"/>
      <c r="B7" s="91"/>
      <c r="C7" s="100"/>
      <c r="D7" s="93"/>
      <c r="E7" s="95"/>
      <c r="F7" s="73"/>
      <c r="G7" s="73"/>
      <c r="H7" s="73"/>
      <c r="I7" s="73"/>
      <c r="J7" s="75"/>
      <c r="K7" s="75"/>
      <c r="L7" s="77"/>
      <c r="M7" s="73"/>
      <c r="N7" s="83" t="s">
        <v>52</v>
      </c>
      <c r="O7" s="85" t="s">
        <v>9</v>
      </c>
      <c r="P7" s="86"/>
      <c r="Q7" s="87" t="s">
        <v>17</v>
      </c>
      <c r="R7" s="70" t="s">
        <v>9</v>
      </c>
      <c r="S7" s="71"/>
    </row>
    <row r="8" spans="1:20" ht="51">
      <c r="A8" s="103"/>
      <c r="B8" s="91"/>
      <c r="C8" s="101"/>
      <c r="D8" s="93"/>
      <c r="E8" s="96"/>
      <c r="F8" s="73"/>
      <c r="G8" s="73"/>
      <c r="H8" s="73"/>
      <c r="I8" s="73"/>
      <c r="J8" s="75"/>
      <c r="K8" s="75"/>
      <c r="L8" s="77"/>
      <c r="M8" s="73"/>
      <c r="N8" s="84"/>
      <c r="O8" s="43" t="s">
        <v>22</v>
      </c>
      <c r="P8" s="18" t="s">
        <v>23</v>
      </c>
      <c r="Q8" s="88"/>
      <c r="R8" s="17" t="s">
        <v>18</v>
      </c>
      <c r="S8" s="28" t="s">
        <v>15</v>
      </c>
      <c r="T8" s="27"/>
    </row>
    <row r="9" spans="1:20" ht="15" thickBot="1">
      <c r="B9" s="29">
        <v>1</v>
      </c>
      <c r="C9" s="34" t="s">
        <v>1</v>
      </c>
      <c r="D9" s="30">
        <v>2</v>
      </c>
      <c r="E9" s="31" t="s">
        <v>2</v>
      </c>
      <c r="F9" s="31">
        <v>3</v>
      </c>
      <c r="G9" s="31">
        <v>4</v>
      </c>
      <c r="H9" s="31">
        <v>5</v>
      </c>
      <c r="I9" s="31">
        <v>6</v>
      </c>
      <c r="J9" s="31">
        <v>7</v>
      </c>
      <c r="K9" s="31">
        <v>8</v>
      </c>
      <c r="L9" s="31">
        <v>9</v>
      </c>
      <c r="M9" s="31">
        <v>10</v>
      </c>
      <c r="N9" s="32">
        <v>11</v>
      </c>
      <c r="O9" s="32">
        <v>12</v>
      </c>
      <c r="P9" s="33">
        <v>13</v>
      </c>
      <c r="Q9" s="44">
        <v>14</v>
      </c>
      <c r="R9" s="32">
        <v>15</v>
      </c>
      <c r="S9" s="33">
        <v>16</v>
      </c>
    </row>
    <row r="10" spans="1:20" ht="38.25">
      <c r="A10" s="5">
        <v>2</v>
      </c>
      <c r="B10" s="108" t="s">
        <v>53</v>
      </c>
      <c r="C10" s="122">
        <v>2</v>
      </c>
      <c r="D10" s="11"/>
      <c r="E10" s="11">
        <v>17</v>
      </c>
      <c r="F10" s="109">
        <f>IF($J$5=1,IF(E10&lt;15,1,IF(E10&lt;20,1+0.25*(E10-15)/5,IF(E10&lt;40,1.25+0.25*(E10-20)/20,IF(E10&lt;60,1.5+0.2*(E10-40)/20,IF(E10&lt;80,1.7+0.15*(E10-60)/20,IF(E10&lt;100,1.85+0.15*(E10-80)/20,IF(E10&lt;150,2+0.25*(E10-100)/50,IF(E10&lt;200,2.25+0.2*(E10-150)/50,IF(E10&lt;250,2.45+0.2*(E10-200)/50,IF(E10&lt;300,2.65+0.1*(E10-250)/50,2.75)))))))))),IF($J$5=2,IF(E10&lt;15,0.65,IF(E10&lt;20,0.65+0.2*(E10-15)/5,IF(E10&lt;40,0.85+0.25*(E10-20)/20,IF(E10&lt;60,1.1+0.2*(E10-40)/20,IF(E10&lt;80,1.3+0.15*(E10-60)/20,IF(E10&lt;100,1.45+0.15*(E10-80)/20,IF(E10&lt;150,1.6+0.3*(E10-100)/50,IF(E10&lt;200,1.9+0.2*(E10-150)/50,IF(E10&lt;250,2.1+0.2*(E10-200)/50,IF(E10&lt;300,2.3+0.2*(E10-250)/50,IF(E10&lt;350,2.5+0.25*(E10-300)/50,2.75))))))))))),IF($J$5=3,IF(E10&lt;15,0.4,IF(E10&lt;20,0.4+0.15*(E10-15)/5,IF(E10&lt;40,0.55+0.25*(E10-20)/20,IF(E10&lt;60,0.8+0.2*(E10-40)/20,IF(E10&lt;80,1+0.15*(E10-60)/20,IF(E10&lt;100,1.15+0.1*(E10-80)/20,IF(E10&lt;150,1.25+0.3*(E10-100)/50,IF(E10&lt;200,1.55+0.25*(E10-150)/50,IF(E10&lt;250,1.8+0.2*(E10-200)/50,IF(E10&lt;300,2+0.2*(E10-250)/50,IF(E10&lt;350,2.2+0.15*(E10-300)/50,2.35))))))))))))))</f>
        <v>1.1000000000000001</v>
      </c>
      <c r="G10" s="109">
        <f>F10*$I$4</f>
        <v>0.88000000000000012</v>
      </c>
      <c r="H10" s="11">
        <v>0.32</v>
      </c>
      <c r="I10" s="11">
        <v>1.1499999999999999</v>
      </c>
      <c r="J10" s="19">
        <f>H10/I10</f>
        <v>0.27826086956521739</v>
      </c>
      <c r="K10" s="19">
        <f>1.4*J10</f>
        <v>0.38956521739130434</v>
      </c>
      <c r="L10" s="49">
        <f t="shared" ref="L10:L17" si="0">IF(J10&lt;0.1,0.99,IF(J10&lt;0.2,0.99-(J10-0.1)/0.1*0.18,IF(J10&lt;0.3,0.81-(J10-0.2)/0.1*0.16,IF(J10&lt;0.4,0.65-(J10-0.3)/0.1*0.17,IF(J10&lt;0.5,0.48-(J10-0.4)/0.1*0.16,IF(J10&lt;0.6,0.32-(J10-0.5)/0.1*0.17,0.15))))))</f>
        <v>0.68478260869565222</v>
      </c>
      <c r="M10" s="49">
        <f>K10*(1+L10)</f>
        <v>0.65633270321361059</v>
      </c>
      <c r="N10" s="50">
        <f>G10*M10*I10*1.5*C10</f>
        <v>1.992626086956522</v>
      </c>
      <c r="O10" s="19">
        <f>IF(A10=1,SIN(PI()/4)*1.2,0.65)*N10</f>
        <v>1.2952069565217392</v>
      </c>
      <c r="P10" s="51">
        <f>IF(A10=1,SIN(PI()/4)*1.2,0.3)*N10</f>
        <v>0.59778782608695658</v>
      </c>
      <c r="Q10" s="45"/>
      <c r="R10" s="23"/>
      <c r="S10" s="35"/>
    </row>
    <row r="11" spans="1:20" ht="38.25">
      <c r="A11" s="5">
        <v>2</v>
      </c>
      <c r="B11" s="110" t="s">
        <v>54</v>
      </c>
      <c r="C11" s="123">
        <v>2</v>
      </c>
      <c r="D11" s="6"/>
      <c r="E11" s="6">
        <v>14</v>
      </c>
      <c r="F11" s="111">
        <f t="shared" ref="F11:F18" si="1">IF($J$5=1,IF(E11&lt;15,1,IF(E11&lt;20,1+0.25*(E11-15)/5,IF(E11&lt;40,1.25+0.25*(E11-20)/20,IF(E11&lt;60,1.5+0.2*(E11-40)/20,IF(E11&lt;80,1.7+0.15*(E11-60)/20,IF(E11&lt;100,1.85+0.15*(E11-80)/20,IF(E11&lt;150,2+0.25*(E11-100)/50,IF(E11&lt;200,2.25+0.2*(E11-150)/50,IF(E11&lt;250,2.45+0.2*(E11-200)/50,IF(E11&lt;300,2.65+0.1*(E11-250)/50,2.75)))))))))),IF($J$5=2,IF(E11&lt;15,0.65,IF(E11&lt;20,0.65+0.2*(E11-15)/5,IF(E11&lt;40,0.85+0.25*(E11-20)/20,IF(E11&lt;60,1.1+0.2*(E11-40)/20,IF(E11&lt;80,1.3+0.15*(E11-60)/20,IF(E11&lt;100,1.45+0.15*(E11-80)/20,IF(E11&lt;150,1.6+0.3*(E11-100)/50,IF(E11&lt;200,1.9+0.2*(E11-150)/50,IF(E11&lt;250,2.1+0.2*(E11-200)/50,IF(E11&lt;300,2.3+0.2*(E11-250)/50,IF(E11&lt;350,2.5+0.25*(E11-300)/50,2.75))))))))))),IF($J$5=3,IF(E11&lt;15,0.4,IF(E11&lt;20,0.4+0.15*(E11-15)/5,IF(E11&lt;40,0.55+0.25*(E11-20)/20,IF(E11&lt;60,0.8+0.2*(E11-40)/20,IF(E11&lt;80,1+0.15*(E11-60)/20,IF(E11&lt;100,1.15+0.1*(E11-80)/20,IF(E11&lt;150,1.25+0.3*(E11-100)/50,IF(E11&lt;200,1.55+0.25*(E11-150)/50,IF(E11&lt;250,1.8+0.2*(E11-200)/50,IF(E11&lt;300,2+0.2*(E11-250)/50,IF(E11&lt;350,2.2+0.15*(E11-300)/50,2.35))))))))))))))</f>
        <v>1</v>
      </c>
      <c r="G11" s="111">
        <f t="shared" ref="G11:G18" si="2">F11*$I$4</f>
        <v>0.8</v>
      </c>
      <c r="H11" s="6">
        <v>0.42</v>
      </c>
      <c r="I11" s="6">
        <v>1.5</v>
      </c>
      <c r="J11" s="20">
        <f t="shared" ref="J11:J18" si="3">H11/I11</f>
        <v>0.27999999999999997</v>
      </c>
      <c r="K11" s="20">
        <f t="shared" ref="K11:K18" si="4">1.4*J11</f>
        <v>0.39199999999999996</v>
      </c>
      <c r="L11" s="52">
        <f t="shared" si="0"/>
        <v>0.68200000000000016</v>
      </c>
      <c r="M11" s="52">
        <f t="shared" ref="M11:M18" si="5">K11*(1+L11)</f>
        <v>0.65934400000000004</v>
      </c>
      <c r="N11" s="53">
        <f t="shared" ref="N11:N18" si="6">G11*M11*I11*1.5*C11</f>
        <v>2.3736383999999999</v>
      </c>
      <c r="O11" s="20">
        <f t="shared" ref="O11:O18" si="7">IF(A11=1,SIN(PI()/4)*1.2,0.65)*N11</f>
        <v>1.54286496</v>
      </c>
      <c r="P11" s="54">
        <f t="shared" ref="P11:P18" si="8">IF(A11=1,SIN(PI()/4)*1.2,0.3)*N11</f>
        <v>0.71209151999999998</v>
      </c>
      <c r="Q11" s="46"/>
      <c r="R11" s="24"/>
      <c r="S11" s="36"/>
    </row>
    <row r="12" spans="1:20" ht="38.25">
      <c r="A12" s="5">
        <v>2</v>
      </c>
      <c r="B12" s="110" t="s">
        <v>55</v>
      </c>
      <c r="C12" s="123">
        <v>2</v>
      </c>
      <c r="D12" s="6"/>
      <c r="E12" s="6">
        <v>11</v>
      </c>
      <c r="F12" s="111">
        <f t="shared" si="1"/>
        <v>1</v>
      </c>
      <c r="G12" s="111">
        <f t="shared" si="2"/>
        <v>0.8</v>
      </c>
      <c r="H12" s="6">
        <v>0.32</v>
      </c>
      <c r="I12" s="6">
        <v>1.1499999999999999</v>
      </c>
      <c r="J12" s="20">
        <f t="shared" si="3"/>
        <v>0.27826086956521739</v>
      </c>
      <c r="K12" s="20">
        <f t="shared" si="4"/>
        <v>0.38956521739130434</v>
      </c>
      <c r="L12" s="52">
        <f t="shared" si="0"/>
        <v>0.68478260869565222</v>
      </c>
      <c r="M12" s="52">
        <f t="shared" si="5"/>
        <v>0.65633270321361059</v>
      </c>
      <c r="N12" s="53">
        <f t="shared" si="6"/>
        <v>1.8114782608695648</v>
      </c>
      <c r="O12" s="20">
        <f t="shared" si="7"/>
        <v>1.1774608695652171</v>
      </c>
      <c r="P12" s="54">
        <f t="shared" si="8"/>
        <v>0.54344347826086936</v>
      </c>
      <c r="Q12" s="46"/>
      <c r="R12" s="24"/>
      <c r="S12" s="36"/>
    </row>
    <row r="13" spans="1:20" ht="38.25">
      <c r="A13" s="5">
        <v>1</v>
      </c>
      <c r="B13" s="110" t="s">
        <v>56</v>
      </c>
      <c r="C13" s="123">
        <v>1</v>
      </c>
      <c r="D13" s="6"/>
      <c r="E13" s="6">
        <v>13.25</v>
      </c>
      <c r="F13" s="111">
        <f t="shared" si="1"/>
        <v>1</v>
      </c>
      <c r="G13" s="111">
        <f t="shared" si="2"/>
        <v>0.8</v>
      </c>
      <c r="H13" s="6">
        <v>1.9</v>
      </c>
      <c r="I13" s="6">
        <v>7.5</v>
      </c>
      <c r="J13" s="20">
        <f t="shared" si="3"/>
        <v>0.2533333333333333</v>
      </c>
      <c r="K13" s="20">
        <f t="shared" si="4"/>
        <v>0.35466666666666657</v>
      </c>
      <c r="L13" s="52">
        <f t="shared" si="0"/>
        <v>0.72466666666666679</v>
      </c>
      <c r="M13" s="52">
        <f t="shared" si="5"/>
        <v>0.61168177777777766</v>
      </c>
      <c r="N13" s="53">
        <f t="shared" si="6"/>
        <v>5.5051359999999994</v>
      </c>
      <c r="O13" s="20">
        <f t="shared" si="7"/>
        <v>4.6712627963450215</v>
      </c>
      <c r="P13" s="54">
        <f t="shared" si="8"/>
        <v>4.6712627963450215</v>
      </c>
      <c r="Q13" s="46"/>
      <c r="R13" s="24"/>
      <c r="S13" s="36"/>
    </row>
    <row r="14" spans="1:20" ht="15.75">
      <c r="A14" s="5"/>
      <c r="B14" s="112"/>
      <c r="C14" s="124"/>
      <c r="D14" s="22"/>
      <c r="E14" s="22">
        <v>0</v>
      </c>
      <c r="F14" s="113">
        <f t="shared" si="1"/>
        <v>1</v>
      </c>
      <c r="G14" s="113">
        <f t="shared" si="2"/>
        <v>0.8</v>
      </c>
      <c r="H14" s="22">
        <v>0</v>
      </c>
      <c r="I14" s="22">
        <v>1</v>
      </c>
      <c r="J14" s="20">
        <f t="shared" si="3"/>
        <v>0</v>
      </c>
      <c r="K14" s="20">
        <f t="shared" si="4"/>
        <v>0</v>
      </c>
      <c r="L14" s="52">
        <f t="shared" si="0"/>
        <v>0.99</v>
      </c>
      <c r="M14" s="55">
        <f t="shared" si="5"/>
        <v>0</v>
      </c>
      <c r="N14" s="56">
        <f t="shared" si="6"/>
        <v>0</v>
      </c>
      <c r="O14" s="57">
        <f t="shared" si="7"/>
        <v>0</v>
      </c>
      <c r="P14" s="58">
        <f t="shared" si="8"/>
        <v>0</v>
      </c>
      <c r="Q14" s="47"/>
      <c r="R14" s="25"/>
      <c r="S14" s="37"/>
    </row>
    <row r="15" spans="1:20" ht="15.75">
      <c r="A15" s="5"/>
      <c r="B15" s="112"/>
      <c r="C15" s="124"/>
      <c r="D15" s="22"/>
      <c r="E15" s="22">
        <v>0</v>
      </c>
      <c r="F15" s="113">
        <f t="shared" si="1"/>
        <v>1</v>
      </c>
      <c r="G15" s="113">
        <f t="shared" si="2"/>
        <v>0.8</v>
      </c>
      <c r="H15" s="22">
        <v>0</v>
      </c>
      <c r="I15" s="22">
        <v>1</v>
      </c>
      <c r="J15" s="20">
        <f t="shared" si="3"/>
        <v>0</v>
      </c>
      <c r="K15" s="20">
        <f t="shared" si="4"/>
        <v>0</v>
      </c>
      <c r="L15" s="52">
        <f t="shared" si="0"/>
        <v>0.99</v>
      </c>
      <c r="M15" s="55">
        <f t="shared" si="5"/>
        <v>0</v>
      </c>
      <c r="N15" s="56">
        <f t="shared" si="6"/>
        <v>0</v>
      </c>
      <c r="O15" s="57">
        <f t="shared" si="7"/>
        <v>0</v>
      </c>
      <c r="P15" s="58">
        <f t="shared" si="8"/>
        <v>0</v>
      </c>
      <c r="Q15" s="47"/>
      <c r="R15" s="25"/>
      <c r="S15" s="37"/>
    </row>
    <row r="16" spans="1:20" ht="15.75">
      <c r="A16" s="5"/>
      <c r="B16" s="112"/>
      <c r="C16" s="124"/>
      <c r="D16" s="22"/>
      <c r="E16" s="22">
        <v>0</v>
      </c>
      <c r="F16" s="113">
        <f t="shared" si="1"/>
        <v>1</v>
      </c>
      <c r="G16" s="113">
        <f t="shared" si="2"/>
        <v>0.8</v>
      </c>
      <c r="H16" s="22">
        <v>0</v>
      </c>
      <c r="I16" s="22">
        <v>1</v>
      </c>
      <c r="J16" s="20">
        <f t="shared" si="3"/>
        <v>0</v>
      </c>
      <c r="K16" s="20">
        <f t="shared" si="4"/>
        <v>0</v>
      </c>
      <c r="L16" s="52">
        <f t="shared" si="0"/>
        <v>0.99</v>
      </c>
      <c r="M16" s="55">
        <f t="shared" si="5"/>
        <v>0</v>
      </c>
      <c r="N16" s="56">
        <f t="shared" si="6"/>
        <v>0</v>
      </c>
      <c r="O16" s="57">
        <f t="shared" si="7"/>
        <v>0</v>
      </c>
      <c r="P16" s="58">
        <f t="shared" si="8"/>
        <v>0</v>
      </c>
      <c r="Q16" s="47"/>
      <c r="R16" s="25"/>
      <c r="S16" s="37"/>
    </row>
    <row r="17" spans="1:19" ht="15.75">
      <c r="A17" s="5"/>
      <c r="B17" s="112"/>
      <c r="C17" s="124"/>
      <c r="D17" s="22"/>
      <c r="E17" s="22">
        <v>0</v>
      </c>
      <c r="F17" s="113">
        <f t="shared" si="1"/>
        <v>1</v>
      </c>
      <c r="G17" s="113">
        <f t="shared" si="2"/>
        <v>0.8</v>
      </c>
      <c r="H17" s="22">
        <v>0</v>
      </c>
      <c r="I17" s="22">
        <v>1</v>
      </c>
      <c r="J17" s="20">
        <f t="shared" si="3"/>
        <v>0</v>
      </c>
      <c r="K17" s="20">
        <f t="shared" si="4"/>
        <v>0</v>
      </c>
      <c r="L17" s="52">
        <f t="shared" si="0"/>
        <v>0.99</v>
      </c>
      <c r="M17" s="55">
        <f t="shared" si="5"/>
        <v>0</v>
      </c>
      <c r="N17" s="56">
        <f t="shared" si="6"/>
        <v>0</v>
      </c>
      <c r="O17" s="57">
        <f t="shared" si="7"/>
        <v>0</v>
      </c>
      <c r="P17" s="58">
        <f t="shared" si="8"/>
        <v>0</v>
      </c>
      <c r="Q17" s="47"/>
      <c r="R17" s="25"/>
      <c r="S17" s="37"/>
    </row>
    <row r="18" spans="1:19" ht="39" thickBot="1">
      <c r="A18" s="5">
        <v>1</v>
      </c>
      <c r="B18" s="114" t="s">
        <v>57</v>
      </c>
      <c r="C18" s="125">
        <v>1</v>
      </c>
      <c r="D18" s="12"/>
      <c r="E18" s="12">
        <v>4.5</v>
      </c>
      <c r="F18" s="115">
        <f t="shared" si="1"/>
        <v>1</v>
      </c>
      <c r="G18" s="115">
        <f t="shared" si="2"/>
        <v>0.8</v>
      </c>
      <c r="H18" s="12">
        <v>4.3600000000000003</v>
      </c>
      <c r="I18" s="12">
        <v>25.6</v>
      </c>
      <c r="J18" s="21">
        <f t="shared" si="3"/>
        <v>0.17031250000000001</v>
      </c>
      <c r="K18" s="21">
        <f t="shared" si="4"/>
        <v>0.2384375</v>
      </c>
      <c r="L18" s="59">
        <f>IF(J18&lt;0.1,0.99,IF(J18&lt;0.2,0.99-(J18-0.1)/0.1*0.18,IF(J18&lt;0.3,0.81-(J18-0.2)/0.1*0.16,IF(J18&lt;0.4,0.65-(J18-0.3)/0.1*0.17,IF(J18&lt;0.5,0.48-(J18-0.4)/0.1*0.16,IF(J18&lt;0.6,0.32-(J18-0.5)/0.1*0.17,0.15))))))</f>
        <v>0.86343749999999997</v>
      </c>
      <c r="M18" s="59">
        <f t="shared" si="5"/>
        <v>0.44431337890624995</v>
      </c>
      <c r="N18" s="60">
        <f t="shared" si="6"/>
        <v>13.649307</v>
      </c>
      <c r="O18" s="21">
        <f t="shared" si="7"/>
        <v>11.581821045836412</v>
      </c>
      <c r="P18" s="61">
        <f t="shared" si="8"/>
        <v>11.581821045836412</v>
      </c>
      <c r="Q18" s="48"/>
      <c r="R18" s="26"/>
      <c r="S18" s="38"/>
    </row>
    <row r="19" spans="1:19" ht="22.5" customHeight="1">
      <c r="G19" s="2" t="s">
        <v>26</v>
      </c>
      <c r="H19" s="14">
        <f>SUM(H10:H18)</f>
        <v>7.32</v>
      </c>
      <c r="K19" s="97" t="s">
        <v>16</v>
      </c>
      <c r="M19" s="1"/>
      <c r="N19" s="97" t="s">
        <v>58</v>
      </c>
      <c r="O19" s="97" t="s">
        <v>24</v>
      </c>
      <c r="P19" s="97" t="s">
        <v>24</v>
      </c>
      <c r="Q19" s="41"/>
      <c r="R19" s="40"/>
      <c r="S19" s="40"/>
    </row>
    <row r="20" spans="1:19" ht="15.75" thickBot="1">
      <c r="B20" s="15"/>
      <c r="C20" s="15"/>
      <c r="K20" s="98"/>
      <c r="M20" s="1"/>
      <c r="N20" s="97"/>
      <c r="O20" s="97"/>
      <c r="P20" s="97"/>
      <c r="Q20" s="39"/>
      <c r="R20" s="40"/>
      <c r="S20" s="40"/>
    </row>
    <row r="21" spans="1:19" ht="18.75" customHeight="1">
      <c r="B21" s="126" t="s">
        <v>67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48" t="s">
        <v>65</v>
      </c>
      <c r="M21" s="89"/>
      <c r="N21" s="7" t="s">
        <v>27</v>
      </c>
      <c r="O21" s="8" t="s">
        <v>28</v>
      </c>
      <c r="P21" s="9" t="s">
        <v>29</v>
      </c>
      <c r="Q21" s="42"/>
      <c r="R21" s="42"/>
      <c r="S21" s="42"/>
    </row>
    <row r="22" spans="1:19" ht="16.5" thickBot="1">
      <c r="B22" s="15"/>
      <c r="C22" s="15"/>
      <c r="L22" s="148"/>
      <c r="M22" s="89"/>
      <c r="N22" s="116">
        <f>SUM(N10:N18)</f>
        <v>25.332185747826088</v>
      </c>
      <c r="O22" s="117">
        <f>SUM(O10:O18)</f>
        <v>20.26861662826839</v>
      </c>
      <c r="P22" s="118">
        <f>SUM(P10:P18)</f>
        <v>18.10640666652926</v>
      </c>
      <c r="Q22" s="42"/>
      <c r="R22" s="42"/>
      <c r="S22" s="42"/>
    </row>
    <row r="23" spans="1:19" ht="18.75">
      <c r="B23" s="15"/>
      <c r="C23" s="15"/>
      <c r="L23" s="148"/>
      <c r="M23" s="89"/>
      <c r="N23" s="7" t="s">
        <v>30</v>
      </c>
      <c r="O23" s="8" t="s">
        <v>31</v>
      </c>
      <c r="P23" s="9" t="s">
        <v>32</v>
      </c>
      <c r="Q23" s="16"/>
      <c r="R23" s="16"/>
      <c r="S23" s="16"/>
    </row>
    <row r="24" spans="1:19" ht="16.5" thickBot="1">
      <c r="B24" s="15"/>
      <c r="C24" s="15"/>
      <c r="L24" s="148"/>
      <c r="M24" s="89"/>
      <c r="N24" s="119">
        <f>N10*$E$10+N11*$E$11+N12*$E$12+N13*$E$13+N14*$E$14+N15*$E$15+N16*$E$16+N17*$E$17+N18*$E$18</f>
        <v>221.39677544782609</v>
      </c>
      <c r="O24" s="120">
        <f>O10*$E$10+O11*$E$11+O12*$E$12+O13*$E$13+O14*$E$14+O15*$E$15+O16*$E$16+O17*$E$17+O18*$E$18</f>
        <v>170.58312402392232</v>
      </c>
      <c r="P24" s="121">
        <f>P10*$E$10+P11*$E$11+P12*$E$12+P13*$E$13+P14*$E$14+P15*$E$15+P16*$E$16+P17*$E$17+P18*$E$18</f>
        <v>140.12197934218321</v>
      </c>
      <c r="Q24" s="14"/>
      <c r="R24" s="14"/>
      <c r="S24" s="14"/>
    </row>
  </sheetData>
  <mergeCells count="25">
    <mergeCell ref="N19:N20"/>
    <mergeCell ref="B21:K21"/>
    <mergeCell ref="L21:M24"/>
    <mergeCell ref="O19:O20"/>
    <mergeCell ref="P19:P20"/>
    <mergeCell ref="Q6:S6"/>
    <mergeCell ref="N7:N8"/>
    <mergeCell ref="O7:P7"/>
    <mergeCell ref="Q7:Q8"/>
    <mergeCell ref="R7:S7"/>
    <mergeCell ref="K19:K20"/>
    <mergeCell ref="I6:I8"/>
    <mergeCell ref="J6:J8"/>
    <mergeCell ref="K6:K8"/>
    <mergeCell ref="L6:L8"/>
    <mergeCell ref="M6:M8"/>
    <mergeCell ref="N6:P6"/>
    <mergeCell ref="A6:A8"/>
    <mergeCell ref="B6:B8"/>
    <mergeCell ref="C6:C8"/>
    <mergeCell ref="D6:D8"/>
    <mergeCell ref="E6:E8"/>
    <mergeCell ref="F6:F8"/>
    <mergeCell ref="G6:G8"/>
    <mergeCell ref="H6:H8"/>
  </mergeCells>
  <pageMargins left="3.937007874015748E-2" right="3.937007874015748E-2" top="0.55118110236220474" bottom="0.35433070866141736" header="0.23622047244094491" footer="0.23622047244094491"/>
  <pageSetup paperSize="9" scale="8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Drop Down 3">
              <controlPr defaultSize="0" autoLine="0" autoPict="0">
                <anchor moveWithCells="1">
                  <from>
                    <xdr:col>8</xdr:col>
                    <xdr:colOff>9525</xdr:colOff>
                    <xdr:row>3</xdr:row>
                    <xdr:rowOff>238125</xdr:rowOff>
                  </from>
                  <to>
                    <xdr:col>8</xdr:col>
                    <xdr:colOff>742950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 20.13330.2016</vt:lpstr>
      <vt:lpstr>ПУЭ Изд 7</vt:lpstr>
      <vt:lpstr>'СП 20.13330.2016'!Область_печати</vt:lpstr>
    </vt:vector>
  </TitlesOfParts>
  <Company>WareZ Provider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KVY</dc:creator>
  <cp:lastModifiedBy>Виталий Корженевский</cp:lastModifiedBy>
  <cp:lastPrinted>2009-12-30T10:10:12Z</cp:lastPrinted>
  <dcterms:created xsi:type="dcterms:W3CDTF">2009-12-24T02:56:17Z</dcterms:created>
  <dcterms:modified xsi:type="dcterms:W3CDTF">2018-12-03T06:26:31Z</dcterms:modified>
</cp:coreProperties>
</file>